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Tsuji\Downloads\"/>
    </mc:Choice>
  </mc:AlternateContent>
  <bookViews>
    <workbookView xWindow="0" yWindow="0" windowWidth="13470" windowHeight="9120" tabRatio="658" activeTab="7"/>
  </bookViews>
  <sheets>
    <sheet name="ローパスフィルタ" sheetId="2" r:id="rId1"/>
    <sheet name="ハイパスフィルタ" sheetId="3" r:id="rId2"/>
    <sheet name="ﾊﾞﾀｰﾜｰｽBPF" sheetId="4" r:id="rId3"/>
    <sheet name="ﾁｪﾋﾞｼｪﾌBPF0.01dB" sheetId="5" r:id="rId4"/>
    <sheet name="ﾁｪﾋﾞｼｪﾌBPF0.05dB" sheetId="6" r:id="rId5"/>
    <sheet name="ﾁｪﾋﾞｼｪﾌBPF0.2dB" sheetId="7" r:id="rId6"/>
    <sheet name="容量結合型BPF" sheetId="9" r:id="rId7"/>
    <sheet name="ｼﾞｬｲﾚｰﾀ変換BPF" sheetId="8" r:id="rId8"/>
    <sheet name="Sheet1" sheetId="11" r:id="rId9"/>
    <sheet name="Norma" sheetId="1" r:id="rId10"/>
    <sheet name="Sheet2" sheetId="10" r:id="rId11"/>
  </sheets>
  <calcPr calcId="152511"/>
</workbook>
</file>

<file path=xl/calcChain.xml><?xml version="1.0" encoding="utf-8"?>
<calcChain xmlns="http://schemas.openxmlformats.org/spreadsheetml/2006/main">
  <c r="B3" i="8" l="1"/>
  <c r="B2" i="8"/>
  <c r="B1" i="8"/>
  <c r="AC37" i="9" l="1"/>
  <c r="AC36" i="9"/>
  <c r="AC35" i="9" s="1"/>
  <c r="AA23" i="7"/>
  <c r="AA22" i="7" s="1"/>
  <c r="AB16" i="6"/>
  <c r="AB15" i="6" s="1"/>
  <c r="Z21" i="5"/>
  <c r="Z20" i="5" s="1"/>
  <c r="Y23" i="4"/>
  <c r="Y22" i="4" s="1"/>
  <c r="AA24" i="7"/>
  <c r="AB17" i="6"/>
  <c r="Z22" i="5"/>
  <c r="Y24" i="4"/>
  <c r="E110" i="9" l="1"/>
  <c r="D110" i="9"/>
  <c r="C110" i="9"/>
  <c r="B110" i="9"/>
  <c r="A110" i="9"/>
  <c r="C99" i="9"/>
  <c r="B99" i="9"/>
  <c r="A99" i="9"/>
  <c r="D82" i="9"/>
  <c r="I83" i="9" s="1"/>
  <c r="C82" i="9"/>
  <c r="B82" i="9"/>
  <c r="G83" i="9" s="1"/>
  <c r="A82" i="9"/>
  <c r="C71" i="9"/>
  <c r="F71" i="9" s="1"/>
  <c r="B71" i="9"/>
  <c r="A71" i="9"/>
  <c r="E82" i="9"/>
  <c r="I55" i="9"/>
  <c r="H55" i="9"/>
  <c r="G55" i="9"/>
  <c r="F55" i="9"/>
  <c r="E54" i="9"/>
  <c r="D54" i="9"/>
  <c r="C54" i="9"/>
  <c r="B54" i="9"/>
  <c r="A54" i="9"/>
  <c r="C43" i="9"/>
  <c r="B43" i="9"/>
  <c r="A43" i="9"/>
  <c r="D28" i="9"/>
  <c r="C28" i="9"/>
  <c r="B28" i="9"/>
  <c r="A28" i="9"/>
  <c r="C18" i="9"/>
  <c r="B18" i="9"/>
  <c r="A18" i="9"/>
  <c r="B7" i="9"/>
  <c r="A7" i="9"/>
  <c r="H111" i="9" l="1"/>
  <c r="I111" i="9"/>
  <c r="F99" i="9"/>
  <c r="G111" i="9"/>
  <c r="E99" i="9"/>
  <c r="F111" i="9"/>
  <c r="E71" i="9"/>
  <c r="F83" i="9"/>
  <c r="H83" i="9"/>
  <c r="F43" i="9"/>
  <c r="E43" i="9"/>
  <c r="H29" i="9"/>
  <c r="G29" i="9"/>
  <c r="F29" i="9"/>
  <c r="F18" i="9"/>
  <c r="E18" i="9"/>
  <c r="E7" i="9"/>
  <c r="F3" i="9"/>
  <c r="L99" i="9" l="1"/>
  <c r="L55" i="9"/>
  <c r="I58" i="9"/>
  <c r="G58" i="9"/>
  <c r="L111" i="9"/>
  <c r="K99" i="9"/>
  <c r="I101" i="9" s="1"/>
  <c r="L83" i="9"/>
  <c r="L71" i="9"/>
  <c r="K55" i="9"/>
  <c r="I60" i="9" s="1"/>
  <c r="K60" i="9" s="1"/>
  <c r="H58" i="9"/>
  <c r="F58" i="9"/>
  <c r="H86" i="9"/>
  <c r="H71" i="9"/>
  <c r="F114" i="9"/>
  <c r="I114" i="9"/>
  <c r="I86" i="9"/>
  <c r="I71" i="9"/>
  <c r="K111" i="9"/>
  <c r="I116" i="9" s="1"/>
  <c r="N112" i="9" s="1"/>
  <c r="F86" i="9"/>
  <c r="M83" i="9" s="1"/>
  <c r="L87" i="9" s="1"/>
  <c r="H99" i="9"/>
  <c r="G114" i="9"/>
  <c r="N111" i="9" s="1"/>
  <c r="I99" i="9"/>
  <c r="H114" i="9"/>
  <c r="G86" i="9"/>
  <c r="K71" i="9"/>
  <c r="I73" i="9" s="1"/>
  <c r="K83" i="9"/>
  <c r="I88" i="9" s="1"/>
  <c r="H18" i="9"/>
  <c r="H43" i="9"/>
  <c r="I43" i="9"/>
  <c r="L7" i="9"/>
  <c r="G32" i="9"/>
  <c r="J29" i="9"/>
  <c r="I34" i="9" s="1"/>
  <c r="J34" i="9" s="1"/>
  <c r="K43" i="9"/>
  <c r="I45" i="9" s="1"/>
  <c r="K29" i="9"/>
  <c r="L18" i="9"/>
  <c r="M7" i="9"/>
  <c r="K7" i="9"/>
  <c r="I9" i="9" s="1"/>
  <c r="H7" i="9"/>
  <c r="I18" i="9"/>
  <c r="K18" i="9"/>
  <c r="I20" i="9" s="1"/>
  <c r="F32" i="9"/>
  <c r="H32" i="9"/>
  <c r="L29" i="9"/>
  <c r="L43" i="9"/>
  <c r="F125" i="8"/>
  <c r="P126" i="8" s="1"/>
  <c r="E126" i="8"/>
  <c r="N127" i="8" s="1"/>
  <c r="D125" i="8"/>
  <c r="L126" i="8" s="1"/>
  <c r="C126" i="8"/>
  <c r="J127" i="8" s="1"/>
  <c r="B125" i="8"/>
  <c r="F85" i="8"/>
  <c r="E86" i="8"/>
  <c r="F105" i="8"/>
  <c r="P106" i="8" s="1"/>
  <c r="E106" i="8"/>
  <c r="N107" i="8" s="1"/>
  <c r="D105" i="8"/>
  <c r="L106" i="8" s="1"/>
  <c r="C106" i="8"/>
  <c r="J107" i="8" s="1"/>
  <c r="B105" i="8"/>
  <c r="M99" i="9" l="1"/>
  <c r="M100" i="9" s="1"/>
  <c r="M111" i="9"/>
  <c r="L115" i="9" s="1"/>
  <c r="L116" i="9" s="1"/>
  <c r="O83" i="9"/>
  <c r="O84" i="9" s="1"/>
  <c r="N71" i="9"/>
  <c r="N72" i="9" s="1"/>
  <c r="K84" i="9"/>
  <c r="K88" i="9"/>
  <c r="K116" i="9"/>
  <c r="K112" i="9"/>
  <c r="K104" i="9"/>
  <c r="K100" i="9"/>
  <c r="P55" i="9"/>
  <c r="P56" i="9" s="1"/>
  <c r="N55" i="9"/>
  <c r="N56" i="9" s="1"/>
  <c r="O55" i="9"/>
  <c r="O56" i="9" s="1"/>
  <c r="M55" i="9"/>
  <c r="M56" i="9" s="1"/>
  <c r="M84" i="9"/>
  <c r="N75" i="9"/>
  <c r="N76" i="9" s="1"/>
  <c r="L103" i="9"/>
  <c r="L104" i="9" s="1"/>
  <c r="K72" i="9"/>
  <c r="K76" i="9"/>
  <c r="L88" i="9"/>
  <c r="M71" i="9"/>
  <c r="M72" i="9" s="1"/>
  <c r="P83" i="9"/>
  <c r="N83" i="9"/>
  <c r="O111" i="9"/>
  <c r="P111" i="9"/>
  <c r="N99" i="9"/>
  <c r="K30" i="9"/>
  <c r="J30" i="9"/>
  <c r="O29" i="9"/>
  <c r="O30" i="9" s="1"/>
  <c r="M43" i="9"/>
  <c r="M44" i="9" s="1"/>
  <c r="N43" i="9"/>
  <c r="N44" i="9" s="1"/>
  <c r="K23" i="9"/>
  <c r="K19" i="9"/>
  <c r="N7" i="9"/>
  <c r="N8" i="9" s="1"/>
  <c r="K44" i="9"/>
  <c r="K48" i="9"/>
  <c r="N33" i="9"/>
  <c r="N34" i="9" s="1"/>
  <c r="M29" i="9"/>
  <c r="M30" i="9" s="1"/>
  <c r="K12" i="9"/>
  <c r="K8" i="9"/>
  <c r="L8" i="9"/>
  <c r="N18" i="9"/>
  <c r="N19" i="9" s="1"/>
  <c r="M18" i="9"/>
  <c r="M19" i="9" s="1"/>
  <c r="N29" i="9"/>
  <c r="N30" i="9" s="1"/>
  <c r="N132" i="8"/>
  <c r="H126" i="8"/>
  <c r="N112" i="8"/>
  <c r="H106" i="8"/>
  <c r="D85" i="8"/>
  <c r="L86" i="8" s="1"/>
  <c r="C86" i="8"/>
  <c r="J87" i="8" s="1"/>
  <c r="B85" i="8"/>
  <c r="N87" i="8"/>
  <c r="P86" i="8"/>
  <c r="M59" i="9" l="1"/>
  <c r="M60" i="9" s="1"/>
  <c r="M115" i="9"/>
  <c r="M116" i="9" s="1"/>
  <c r="M112" i="9"/>
  <c r="P112" i="9"/>
  <c r="P115" i="9"/>
  <c r="P116" i="9" s="1"/>
  <c r="N84" i="9"/>
  <c r="N87" i="9"/>
  <c r="N88" i="9" s="1"/>
  <c r="M87" i="9"/>
  <c r="M88" i="9" s="1"/>
  <c r="M75" i="9"/>
  <c r="M76" i="9" s="1"/>
  <c r="O59" i="9"/>
  <c r="O60" i="9" s="1"/>
  <c r="N100" i="9"/>
  <c r="M103" i="9"/>
  <c r="M104" i="9" s="1"/>
  <c r="N103" i="9"/>
  <c r="N104" i="9" s="1"/>
  <c r="O112" i="9"/>
  <c r="N115" i="9"/>
  <c r="N116" i="9" s="1"/>
  <c r="O115" i="9"/>
  <c r="O116" i="9" s="1"/>
  <c r="P84" i="9"/>
  <c r="P87" i="9"/>
  <c r="P88" i="9" s="1"/>
  <c r="L75" i="9"/>
  <c r="L76" i="9" s="1"/>
  <c r="L59" i="9"/>
  <c r="L60" i="9" s="1"/>
  <c r="P59" i="9"/>
  <c r="P60" i="9" s="1"/>
  <c r="N59" i="9"/>
  <c r="N60" i="9" s="1"/>
  <c r="O87" i="9"/>
  <c r="O88" i="9" s="1"/>
  <c r="N22" i="9"/>
  <c r="N23" i="9" s="1"/>
  <c r="M33" i="9"/>
  <c r="M34" i="9" s="1"/>
  <c r="M11" i="9"/>
  <c r="M12" i="9" s="1"/>
  <c r="L11" i="9"/>
  <c r="L12" i="9" s="1"/>
  <c r="L33" i="9"/>
  <c r="L34" i="9" s="1"/>
  <c r="N47" i="9"/>
  <c r="N48" i="9" s="1"/>
  <c r="L22" i="9"/>
  <c r="L23" i="9" s="1"/>
  <c r="M22" i="9"/>
  <c r="M23" i="9" s="1"/>
  <c r="K33" i="9"/>
  <c r="K34" i="9" s="1"/>
  <c r="M47" i="9"/>
  <c r="M48" i="9" s="1"/>
  <c r="L47" i="9"/>
  <c r="L48" i="9" s="1"/>
  <c r="T132" i="8"/>
  <c r="Q132" i="8"/>
  <c r="K132" i="8"/>
  <c r="H132" i="8"/>
  <c r="T112" i="8"/>
  <c r="Q112" i="8"/>
  <c r="K112" i="8"/>
  <c r="H112" i="8"/>
  <c r="N92" i="8"/>
  <c r="H86" i="8"/>
  <c r="F68" i="8"/>
  <c r="P69" i="8" s="1"/>
  <c r="E69" i="8"/>
  <c r="N70" i="8" s="1"/>
  <c r="D68" i="8"/>
  <c r="L69" i="8" s="1"/>
  <c r="C69" i="8"/>
  <c r="J70" i="8" s="1"/>
  <c r="B68" i="8"/>
  <c r="H69" i="8" s="1"/>
  <c r="T75" i="8" s="1"/>
  <c r="N75" i="8" l="1"/>
  <c r="T92" i="8"/>
  <c r="Q92" i="8"/>
  <c r="K92" i="8"/>
  <c r="H92" i="8"/>
  <c r="K75" i="8"/>
  <c r="H75" i="8"/>
  <c r="Q75" i="8"/>
  <c r="D48" i="8"/>
  <c r="K51" i="8" s="1"/>
  <c r="C49" i="8"/>
  <c r="I52" i="8" s="1"/>
  <c r="B48" i="8"/>
  <c r="G51" i="8" s="1"/>
  <c r="Q57" i="8" s="1"/>
  <c r="D34" i="8"/>
  <c r="K37" i="8" s="1"/>
  <c r="C35" i="8"/>
  <c r="I38" i="8" s="1"/>
  <c r="B34" i="8"/>
  <c r="G37" i="8" s="1"/>
  <c r="Q43" i="8" s="1"/>
  <c r="D20" i="8"/>
  <c r="K23" i="8" s="1"/>
  <c r="B20" i="8"/>
  <c r="G23" i="8" s="1"/>
  <c r="C21" i="8"/>
  <c r="Q29" i="8" l="1"/>
  <c r="K29" i="8"/>
  <c r="N29" i="8"/>
  <c r="I24" i="8"/>
  <c r="N57" i="8"/>
  <c r="K57" i="8"/>
  <c r="K43" i="8"/>
  <c r="N43" i="8"/>
  <c r="C10" i="8"/>
  <c r="I10" i="8" s="1"/>
  <c r="D9" i="8"/>
  <c r="K9" i="8" s="1"/>
  <c r="B9" i="8"/>
  <c r="G9" i="8" s="1"/>
  <c r="Q15" i="8" s="1"/>
  <c r="B5" i="8"/>
  <c r="I106" i="8" l="1"/>
  <c r="Q126" i="8"/>
  <c r="O127" i="8"/>
  <c r="M106" i="8"/>
  <c r="I126" i="8"/>
  <c r="Q106" i="8"/>
  <c r="M126" i="8"/>
  <c r="K127" i="8"/>
  <c r="B129" i="8" s="1"/>
  <c r="O107" i="8"/>
  <c r="K107" i="8"/>
  <c r="B109" i="8" s="1"/>
  <c r="C129" i="8"/>
  <c r="C109" i="8"/>
  <c r="F129" i="8"/>
  <c r="F132" i="8" s="1"/>
  <c r="F109" i="8"/>
  <c r="F112" i="8" s="1"/>
  <c r="I86" i="8"/>
  <c r="Q86" i="8"/>
  <c r="M86" i="8"/>
  <c r="O87" i="8"/>
  <c r="K87" i="8"/>
  <c r="B89" i="8" s="1"/>
  <c r="C89" i="8"/>
  <c r="F72" i="8"/>
  <c r="F75" i="8" s="1"/>
  <c r="F89" i="8"/>
  <c r="F92" i="8" s="1"/>
  <c r="K15" i="8"/>
  <c r="Q69" i="8"/>
  <c r="O70" i="8"/>
  <c r="M69" i="8"/>
  <c r="K70" i="8"/>
  <c r="B72" i="8" s="1"/>
  <c r="I69" i="8"/>
  <c r="C72" i="8"/>
  <c r="H51" i="8"/>
  <c r="H37" i="8"/>
  <c r="N15" i="8"/>
  <c r="H14" i="8"/>
  <c r="H17" i="8" s="1"/>
  <c r="L23" i="8"/>
  <c r="J24" i="8"/>
  <c r="G28" i="8" s="1"/>
  <c r="H23" i="8"/>
  <c r="H28" i="8"/>
  <c r="H9" i="8"/>
  <c r="L9" i="8"/>
  <c r="H56" i="8"/>
  <c r="L51" i="8"/>
  <c r="J10" i="8"/>
  <c r="J38" i="8"/>
  <c r="G42" i="8" s="1"/>
  <c r="J52" i="8"/>
  <c r="G56" i="8" s="1"/>
  <c r="L37" i="8"/>
  <c r="H42" i="8"/>
  <c r="R15" i="8" l="1"/>
  <c r="U132" i="8"/>
  <c r="M113" i="8"/>
  <c r="J113" i="8"/>
  <c r="S113" i="8"/>
  <c r="P113" i="8"/>
  <c r="C112" i="8"/>
  <c r="R112" i="8" s="1"/>
  <c r="U112" i="8"/>
  <c r="O112" i="8"/>
  <c r="E109" i="8"/>
  <c r="S133" i="8"/>
  <c r="P133" i="8"/>
  <c r="C132" i="8"/>
  <c r="R132" i="8" s="1"/>
  <c r="M133" i="8"/>
  <c r="J133" i="8"/>
  <c r="E129" i="8"/>
  <c r="I132" i="8"/>
  <c r="I112" i="8"/>
  <c r="E72" i="8"/>
  <c r="S93" i="8"/>
  <c r="P93" i="8"/>
  <c r="C92" i="8"/>
  <c r="R92" i="8" s="1"/>
  <c r="M93" i="8"/>
  <c r="J93" i="8"/>
  <c r="U92" i="8"/>
  <c r="O92" i="8"/>
  <c r="E89" i="8"/>
  <c r="I92" i="8"/>
  <c r="O15" i="8"/>
  <c r="J76" i="8"/>
  <c r="S76" i="8"/>
  <c r="P76" i="8"/>
  <c r="M76" i="8"/>
  <c r="C75" i="8"/>
  <c r="R75" i="8" s="1"/>
  <c r="P16" i="8"/>
  <c r="I75" i="8"/>
  <c r="U75" i="8"/>
  <c r="L15" i="8"/>
  <c r="R43" i="8"/>
  <c r="L43" i="8"/>
  <c r="M16" i="8"/>
  <c r="H45" i="8"/>
  <c r="O43" i="8" s="1"/>
  <c r="P44" i="8"/>
  <c r="M44" i="8"/>
  <c r="G14" i="8"/>
  <c r="H59" i="8"/>
  <c r="O57" i="8" s="1"/>
  <c r="M58" i="8"/>
  <c r="P58" i="8"/>
  <c r="P30" i="8"/>
  <c r="H31" i="8"/>
  <c r="O29" i="8" s="1"/>
  <c r="M30" i="8"/>
  <c r="R29" i="8"/>
  <c r="L29" i="8"/>
  <c r="R57" i="8"/>
  <c r="L57" i="8"/>
  <c r="L132" i="8" l="1"/>
  <c r="O132" i="8"/>
  <c r="L112" i="8"/>
  <c r="L75" i="8"/>
  <c r="O75" i="8"/>
  <c r="L92" i="8"/>
  <c r="N42" i="2"/>
  <c r="M41" i="2"/>
  <c r="L42" i="2"/>
  <c r="K41" i="2"/>
  <c r="J42" i="2"/>
  <c r="I41" i="2"/>
  <c r="H42" i="2"/>
  <c r="G41" i="2"/>
  <c r="F42" i="2"/>
  <c r="N36" i="2"/>
  <c r="M37" i="2"/>
  <c r="L36" i="2"/>
  <c r="K37" i="2"/>
  <c r="J36" i="2"/>
  <c r="I37" i="2"/>
  <c r="H36" i="2"/>
  <c r="G37" i="2"/>
  <c r="F36" i="2"/>
  <c r="N31" i="2"/>
  <c r="M30" i="2"/>
  <c r="L31" i="2"/>
  <c r="K30" i="2"/>
  <c r="J31" i="2"/>
  <c r="I30" i="2"/>
  <c r="H31" i="2"/>
  <c r="G30" i="2"/>
  <c r="F31" i="2"/>
  <c r="N25" i="2"/>
  <c r="M26" i="2"/>
  <c r="L25" i="2"/>
  <c r="K26" i="2"/>
  <c r="J25" i="2"/>
  <c r="I26" i="2"/>
  <c r="H25" i="2"/>
  <c r="G26" i="2"/>
  <c r="F25" i="2"/>
  <c r="N20" i="2"/>
  <c r="M19" i="2"/>
  <c r="L20" i="2"/>
  <c r="K19" i="2"/>
  <c r="J20" i="2"/>
  <c r="I19" i="2"/>
  <c r="H20" i="2"/>
  <c r="G19" i="2"/>
  <c r="F20" i="2"/>
  <c r="N14" i="2"/>
  <c r="M15" i="2"/>
  <c r="L14" i="2"/>
  <c r="K15" i="2"/>
  <c r="J14" i="2"/>
  <c r="I15" i="2"/>
  <c r="H14" i="2"/>
  <c r="G15" i="2"/>
  <c r="F14" i="2"/>
  <c r="O7" i="2"/>
  <c r="N8" i="2"/>
  <c r="O3" i="2"/>
  <c r="N2" i="2"/>
  <c r="M7" i="2"/>
  <c r="M3" i="2"/>
  <c r="L8" i="2"/>
  <c r="L2" i="2"/>
  <c r="K7" i="2"/>
  <c r="K3" i="2"/>
  <c r="J8" i="2"/>
  <c r="J2" i="2"/>
  <c r="I7" i="2"/>
  <c r="I3" i="2"/>
  <c r="H8" i="2"/>
  <c r="H2" i="2"/>
  <c r="F8" i="2"/>
  <c r="F2" i="2"/>
  <c r="L24" i="3"/>
  <c r="K25" i="3"/>
  <c r="J24" i="3"/>
  <c r="I25" i="3"/>
  <c r="H24" i="3"/>
  <c r="G25" i="3"/>
  <c r="F24" i="3"/>
  <c r="E25" i="3"/>
  <c r="D24" i="3"/>
  <c r="L19" i="3"/>
  <c r="K20" i="3"/>
  <c r="J19" i="3"/>
  <c r="I20" i="3"/>
  <c r="H19" i="3"/>
  <c r="G20" i="3"/>
  <c r="F19" i="3"/>
  <c r="E20" i="3"/>
  <c r="D19" i="3"/>
  <c r="L14" i="3"/>
  <c r="K15" i="3"/>
  <c r="J14" i="3"/>
  <c r="I15" i="3"/>
  <c r="H14" i="3"/>
  <c r="F14" i="3"/>
  <c r="E15" i="3"/>
  <c r="G15" i="3"/>
  <c r="D14" i="3"/>
  <c r="D9" i="3" l="1"/>
  <c r="E10" i="3"/>
  <c r="L9" i="3"/>
  <c r="K10" i="3"/>
  <c r="J9" i="3"/>
  <c r="I10" i="3"/>
  <c r="F9" i="3"/>
  <c r="H9" i="3"/>
  <c r="G10" i="3"/>
  <c r="H24" i="7" l="1"/>
  <c r="V37" i="7" s="1"/>
  <c r="G23" i="7"/>
  <c r="T36" i="7" s="1"/>
  <c r="F24" i="7"/>
  <c r="R37" i="7" s="1"/>
  <c r="E23" i="7"/>
  <c r="P36" i="7" s="1"/>
  <c r="D24" i="7"/>
  <c r="N37" i="7" s="1"/>
  <c r="C23" i="7"/>
  <c r="L36" i="7" s="1"/>
  <c r="B24" i="7"/>
  <c r="J37" i="7" s="1"/>
  <c r="F17" i="7"/>
  <c r="R22" i="7" s="1"/>
  <c r="E16" i="7"/>
  <c r="P21" i="7" s="1"/>
  <c r="D17" i="7"/>
  <c r="N22" i="7" s="1"/>
  <c r="C16" i="7"/>
  <c r="L21" i="7" s="1"/>
  <c r="B17" i="7"/>
  <c r="J22" i="7" s="1"/>
  <c r="D10" i="7"/>
  <c r="N9" i="7" s="1"/>
  <c r="C9" i="7"/>
  <c r="L8" i="7" s="1"/>
  <c r="B10" i="7"/>
  <c r="J9" i="7" s="1"/>
  <c r="B5" i="7"/>
  <c r="S22" i="7" l="1"/>
  <c r="M36" i="7"/>
  <c r="K9" i="7"/>
  <c r="O9" i="7"/>
  <c r="Z8" i="7" s="1"/>
  <c r="M21" i="7"/>
  <c r="Q21" i="7"/>
  <c r="W37" i="7"/>
  <c r="Q36" i="7"/>
  <c r="S37" i="7"/>
  <c r="U36" i="7"/>
  <c r="M8" i="7"/>
  <c r="U5" i="7" s="1"/>
  <c r="K22" i="7"/>
  <c r="O22" i="7"/>
  <c r="K37" i="7"/>
  <c r="O37" i="7"/>
  <c r="H23" i="6"/>
  <c r="U33" i="6" s="1"/>
  <c r="G22" i="6"/>
  <c r="S32" i="6" s="1"/>
  <c r="F23" i="6"/>
  <c r="Q33" i="6" s="1"/>
  <c r="E22" i="6"/>
  <c r="O32" i="6" s="1"/>
  <c r="D23" i="6"/>
  <c r="M33" i="6" s="1"/>
  <c r="C22" i="6"/>
  <c r="K32" i="6" s="1"/>
  <c r="B23" i="6"/>
  <c r="I33" i="6" s="1"/>
  <c r="F16" i="6"/>
  <c r="Q24" i="6" s="1"/>
  <c r="E15" i="6"/>
  <c r="O23" i="6" s="1"/>
  <c r="D16" i="6"/>
  <c r="M24" i="6" s="1"/>
  <c r="C15" i="6"/>
  <c r="K23" i="6" s="1"/>
  <c r="B16" i="6"/>
  <c r="I24" i="6" s="1"/>
  <c r="D10" i="6"/>
  <c r="M9" i="6" s="1"/>
  <c r="C9" i="6"/>
  <c r="K8" i="6" s="1"/>
  <c r="B10" i="6"/>
  <c r="I9" i="6" s="1"/>
  <c r="B5" i="6"/>
  <c r="S5" i="7" l="1"/>
  <c r="R8" i="7"/>
  <c r="V7" i="7" s="1"/>
  <c r="N9" i="6"/>
  <c r="Z8" i="6" s="1"/>
  <c r="L23" i="6"/>
  <c r="L8" i="6"/>
  <c r="U5" i="6" s="1"/>
  <c r="N24" i="6"/>
  <c r="L32" i="6"/>
  <c r="T32" i="6"/>
  <c r="J33" i="6"/>
  <c r="R33" i="6"/>
  <c r="R24" i="6"/>
  <c r="P23" i="6"/>
  <c r="N33" i="6"/>
  <c r="V33" i="6"/>
  <c r="J9" i="6"/>
  <c r="J24" i="6"/>
  <c r="P32" i="6"/>
  <c r="B5" i="5"/>
  <c r="H25" i="5"/>
  <c r="U38" i="5" s="1"/>
  <c r="G24" i="5"/>
  <c r="S37" i="5" s="1"/>
  <c r="F25" i="5"/>
  <c r="Q38" i="5" s="1"/>
  <c r="E24" i="5"/>
  <c r="O37" i="5" s="1"/>
  <c r="D25" i="5"/>
  <c r="M38" i="5" s="1"/>
  <c r="C24" i="5"/>
  <c r="K37" i="5" s="1"/>
  <c r="B25" i="5"/>
  <c r="I38" i="5" s="1"/>
  <c r="F17" i="5"/>
  <c r="Q24" i="5" s="1"/>
  <c r="E16" i="5"/>
  <c r="O23" i="5" s="1"/>
  <c r="D17" i="5"/>
  <c r="M24" i="5" s="1"/>
  <c r="C16" i="5"/>
  <c r="K23" i="5" s="1"/>
  <c r="B17" i="5"/>
  <c r="I24" i="5" s="1"/>
  <c r="D10" i="5"/>
  <c r="M9" i="5" s="1"/>
  <c r="C9" i="5"/>
  <c r="K8" i="5" s="1"/>
  <c r="B10" i="5"/>
  <c r="I9" i="5" s="1"/>
  <c r="R24" i="5" l="1"/>
  <c r="W8" i="7"/>
  <c r="Y5" i="7"/>
  <c r="Y8" i="7"/>
  <c r="X5" i="7"/>
  <c r="W5" i="7"/>
  <c r="T7" i="7"/>
  <c r="X7" i="7"/>
  <c r="U8" i="7"/>
  <c r="S8" i="7"/>
  <c r="R8" i="6"/>
  <c r="V7" i="6" s="1"/>
  <c r="S5" i="6"/>
  <c r="Y8" i="6" s="1"/>
  <c r="T7" i="6"/>
  <c r="U8" i="6"/>
  <c r="X7" i="6"/>
  <c r="L8" i="5"/>
  <c r="T5" i="5" s="1"/>
  <c r="J24" i="5"/>
  <c r="T37" i="5"/>
  <c r="L23" i="5"/>
  <c r="P23" i="5"/>
  <c r="N9" i="5"/>
  <c r="Y8" i="5" s="1"/>
  <c r="N24" i="5"/>
  <c r="P37" i="5"/>
  <c r="N38" i="5"/>
  <c r="L37" i="5"/>
  <c r="J9" i="5"/>
  <c r="J38" i="5"/>
  <c r="R38" i="5"/>
  <c r="V38" i="5"/>
  <c r="X5" i="6" l="1"/>
  <c r="W5" i="6"/>
  <c r="W8" i="6"/>
  <c r="Y5" i="6"/>
  <c r="S8" i="6"/>
  <c r="Q8" i="5"/>
  <c r="U7" i="5" s="1"/>
  <c r="R5" i="5"/>
  <c r="X8" i="5"/>
  <c r="S7" i="5"/>
  <c r="V5" i="5"/>
  <c r="T8" i="5"/>
  <c r="W5" i="5"/>
  <c r="W7" i="5"/>
  <c r="H34" i="4"/>
  <c r="U43" i="4" s="1"/>
  <c r="G33" i="4"/>
  <c r="S42" i="4" s="1"/>
  <c r="F34" i="4"/>
  <c r="Q43" i="4" s="1"/>
  <c r="E33" i="4"/>
  <c r="O42" i="4" s="1"/>
  <c r="D34" i="4"/>
  <c r="M43" i="4" s="1"/>
  <c r="C33" i="4"/>
  <c r="K42" i="4" s="1"/>
  <c r="B34" i="4"/>
  <c r="I43" i="4" s="1"/>
  <c r="F26" i="4"/>
  <c r="Q30" i="4" s="1"/>
  <c r="E25" i="4"/>
  <c r="O29" i="4" s="1"/>
  <c r="D26" i="4"/>
  <c r="M30" i="4" s="1"/>
  <c r="C25" i="4"/>
  <c r="K29" i="4" s="1"/>
  <c r="B26" i="4"/>
  <c r="I30" i="4" s="1"/>
  <c r="D17" i="4"/>
  <c r="M22" i="4" s="1"/>
  <c r="C18" i="4"/>
  <c r="K23" i="4" s="1"/>
  <c r="B17" i="4"/>
  <c r="I22" i="4" s="1"/>
  <c r="V8" i="5" l="1"/>
  <c r="X5" i="5"/>
  <c r="R8" i="5"/>
  <c r="D10" i="4"/>
  <c r="M9" i="4" s="1"/>
  <c r="C9" i="4"/>
  <c r="K8" i="4" s="1"/>
  <c r="B10" i="4"/>
  <c r="I9" i="4" s="1"/>
  <c r="B5" i="4"/>
  <c r="G7" i="2"/>
  <c r="G3" i="2"/>
  <c r="L8" i="4" l="1"/>
  <c r="U5" i="4" s="1"/>
  <c r="V43" i="4"/>
  <c r="R43" i="4"/>
  <c r="N43" i="4"/>
  <c r="J43" i="4"/>
  <c r="R30" i="4"/>
  <c r="J30" i="4"/>
  <c r="T42" i="4"/>
  <c r="P42" i="4"/>
  <c r="L42" i="4"/>
  <c r="P29" i="4"/>
  <c r="L29" i="4"/>
  <c r="N30" i="4"/>
  <c r="J22" i="4"/>
  <c r="L23" i="4"/>
  <c r="N22" i="4"/>
  <c r="J9" i="4"/>
  <c r="N9" i="4"/>
  <c r="Z8" i="4" s="1"/>
  <c r="K56" i="9"/>
  <c r="R8" i="4" l="1"/>
  <c r="V7" i="4" s="1"/>
  <c r="S5" i="4"/>
  <c r="Y8" i="4" s="1"/>
  <c r="X7" i="4" l="1"/>
  <c r="S8" i="4"/>
  <c r="W8" i="4"/>
  <c r="Y5" i="4"/>
  <c r="X5" i="4"/>
  <c r="W5" i="4"/>
  <c r="U8" i="4"/>
  <c r="T7" i="4"/>
</calcChain>
</file>

<file path=xl/sharedStrings.xml><?xml version="1.0" encoding="utf-8"?>
<sst xmlns="http://schemas.openxmlformats.org/spreadsheetml/2006/main" count="1455" uniqueCount="328">
  <si>
    <t>nH</t>
    <phoneticPr fontId="1"/>
  </si>
  <si>
    <t>pF</t>
    <phoneticPr fontId="1"/>
  </si>
  <si>
    <t>バターワース型ローパスフィルター正規化データ</t>
    <rPh sb="6" eb="7">
      <t>カタ</t>
    </rPh>
    <rPh sb="16" eb="19">
      <t>セイキカ</t>
    </rPh>
    <phoneticPr fontId="1"/>
  </si>
  <si>
    <t>段数</t>
    <rPh sb="0" eb="2">
      <t>ダンスウ</t>
    </rPh>
    <phoneticPr fontId="1"/>
  </si>
  <si>
    <t>特性インピーダンス</t>
    <rPh sb="0" eb="2">
      <t>トクセイ</t>
    </rPh>
    <phoneticPr fontId="1"/>
  </si>
  <si>
    <t>3dBカットオフ周波数</t>
    <rPh sb="8" eb="11">
      <t>シュウハスウ</t>
    </rPh>
    <phoneticPr fontId="1"/>
  </si>
  <si>
    <t>Ω</t>
    <phoneticPr fontId="1"/>
  </si>
  <si>
    <t>MHz</t>
    <phoneticPr fontId="1"/>
  </si>
  <si>
    <t>L1</t>
    <phoneticPr fontId="1"/>
  </si>
  <si>
    <t>C2</t>
    <phoneticPr fontId="1"/>
  </si>
  <si>
    <t>L3</t>
    <phoneticPr fontId="1"/>
  </si>
  <si>
    <t>C4</t>
    <phoneticPr fontId="1"/>
  </si>
  <si>
    <t>nH</t>
    <phoneticPr fontId="1"/>
  </si>
  <si>
    <t>L5</t>
    <phoneticPr fontId="1"/>
  </si>
  <si>
    <t>C6</t>
    <phoneticPr fontId="1"/>
  </si>
  <si>
    <t>L7</t>
    <phoneticPr fontId="1"/>
  </si>
  <si>
    <t>C8</t>
    <phoneticPr fontId="1"/>
  </si>
  <si>
    <t>L9</t>
    <phoneticPr fontId="1"/>
  </si>
  <si>
    <t>C10</t>
    <phoneticPr fontId="1"/>
  </si>
  <si>
    <t>（2～10段）</t>
    <rPh sb="5" eb="6">
      <t>ダン</t>
    </rPh>
    <phoneticPr fontId="1"/>
  </si>
  <si>
    <t>直列枝入力</t>
    <rPh sb="0" eb="2">
      <t>チョクレツ</t>
    </rPh>
    <rPh sb="2" eb="3">
      <t>エダ</t>
    </rPh>
    <rPh sb="3" eb="5">
      <t>ニュウリョク</t>
    </rPh>
    <phoneticPr fontId="1"/>
  </si>
  <si>
    <t>並列枝入力</t>
    <rPh sb="0" eb="2">
      <t>ヘイレツ</t>
    </rPh>
    <rPh sb="2" eb="3">
      <t>エダ</t>
    </rPh>
    <rPh sb="3" eb="5">
      <t>ニュウリョク</t>
    </rPh>
    <phoneticPr fontId="1"/>
  </si>
  <si>
    <t>C1</t>
    <phoneticPr fontId="1"/>
  </si>
  <si>
    <t>L2</t>
    <phoneticPr fontId="1"/>
  </si>
  <si>
    <t>C3</t>
    <phoneticPr fontId="1"/>
  </si>
  <si>
    <t>L4</t>
    <phoneticPr fontId="1"/>
  </si>
  <si>
    <t>C5</t>
    <phoneticPr fontId="1"/>
  </si>
  <si>
    <t>L6</t>
    <phoneticPr fontId="1"/>
  </si>
  <si>
    <t>C7</t>
    <phoneticPr fontId="1"/>
  </si>
  <si>
    <t>L8</t>
    <phoneticPr fontId="1"/>
  </si>
  <si>
    <t>C9</t>
    <phoneticPr fontId="1"/>
  </si>
  <si>
    <t>L10</t>
    <phoneticPr fontId="1"/>
  </si>
  <si>
    <t>中心周波数</t>
    <rPh sb="0" eb="5">
      <t>チュウシンシュウハスウ</t>
    </rPh>
    <phoneticPr fontId="1"/>
  </si>
  <si>
    <t>3dB帯域幅</t>
    <rPh sb="3" eb="6">
      <t>タイイキハバ</t>
    </rPh>
    <phoneticPr fontId="1"/>
  </si>
  <si>
    <t>MHz</t>
    <phoneticPr fontId="1"/>
  </si>
  <si>
    <t>MHz</t>
    <phoneticPr fontId="1"/>
  </si>
  <si>
    <t>Ω</t>
    <phoneticPr fontId="1"/>
  </si>
  <si>
    <t>f0中心周波数</t>
    <rPh sb="2" eb="7">
      <t>チュウシンシュウハスウ</t>
    </rPh>
    <phoneticPr fontId="1"/>
  </si>
  <si>
    <t>C1</t>
    <phoneticPr fontId="1"/>
  </si>
  <si>
    <t>L2</t>
    <phoneticPr fontId="1"/>
  </si>
  <si>
    <t>C3</t>
    <phoneticPr fontId="1"/>
  </si>
  <si>
    <t>C1</t>
    <phoneticPr fontId="1"/>
  </si>
  <si>
    <t>L</t>
    <phoneticPr fontId="1"/>
  </si>
  <si>
    <t>C</t>
    <phoneticPr fontId="1"/>
  </si>
  <si>
    <t>C3</t>
    <phoneticPr fontId="1"/>
  </si>
  <si>
    <t>L2</t>
    <phoneticPr fontId="1"/>
  </si>
  <si>
    <t>並列共振</t>
    <rPh sb="0" eb="2">
      <t>ヘイレツ</t>
    </rPh>
    <rPh sb="2" eb="4">
      <t>キョウシン</t>
    </rPh>
    <phoneticPr fontId="1"/>
  </si>
  <si>
    <t>直列共振</t>
    <rPh sb="0" eb="2">
      <t>チョクレツ</t>
    </rPh>
    <rPh sb="2" eb="4">
      <t>キョウシン</t>
    </rPh>
    <phoneticPr fontId="1"/>
  </si>
  <si>
    <t>L1</t>
    <phoneticPr fontId="1"/>
  </si>
  <si>
    <t>C2</t>
    <phoneticPr fontId="1"/>
  </si>
  <si>
    <t>L3</t>
    <phoneticPr fontId="1"/>
  </si>
  <si>
    <t>L1</t>
    <phoneticPr fontId="1"/>
  </si>
  <si>
    <t>C</t>
    <phoneticPr fontId="1"/>
  </si>
  <si>
    <t>C2</t>
    <phoneticPr fontId="1"/>
  </si>
  <si>
    <t>L</t>
    <phoneticPr fontId="1"/>
  </si>
  <si>
    <t>L3</t>
    <phoneticPr fontId="1"/>
  </si>
  <si>
    <t>C</t>
    <phoneticPr fontId="1"/>
  </si>
  <si>
    <t>直列共振</t>
    <rPh sb="0" eb="2">
      <t>チョクレツ</t>
    </rPh>
    <rPh sb="2" eb="4">
      <t>キョウシン</t>
    </rPh>
    <phoneticPr fontId="1"/>
  </si>
  <si>
    <t>nH</t>
    <phoneticPr fontId="1"/>
  </si>
  <si>
    <t>pF</t>
    <phoneticPr fontId="1"/>
  </si>
  <si>
    <t>C1</t>
    <phoneticPr fontId="1"/>
  </si>
  <si>
    <t>L2</t>
    <phoneticPr fontId="1"/>
  </si>
  <si>
    <t>C3</t>
    <phoneticPr fontId="1"/>
  </si>
  <si>
    <t>L4</t>
    <phoneticPr fontId="1"/>
  </si>
  <si>
    <t>C5</t>
    <phoneticPr fontId="1"/>
  </si>
  <si>
    <t>並列共振</t>
    <rPh sb="0" eb="2">
      <t>ヘイレツ</t>
    </rPh>
    <rPh sb="2" eb="4">
      <t>キョウシン</t>
    </rPh>
    <phoneticPr fontId="1"/>
  </si>
  <si>
    <t>すべてバターワース型のBPF</t>
    <rPh sb="9" eb="10">
      <t>カタ</t>
    </rPh>
    <phoneticPr fontId="1"/>
  </si>
  <si>
    <t>L6</t>
    <phoneticPr fontId="1"/>
  </si>
  <si>
    <t>C7</t>
    <phoneticPr fontId="1"/>
  </si>
  <si>
    <t>チェビシェフ 0.01dB 型ローパスフィルター正規化データ</t>
    <rPh sb="14" eb="15">
      <t>カタ</t>
    </rPh>
    <rPh sb="24" eb="27">
      <t>セイキカ</t>
    </rPh>
    <phoneticPr fontId="1"/>
  </si>
  <si>
    <t>C2</t>
    <phoneticPr fontId="1"/>
  </si>
  <si>
    <t>C4</t>
    <phoneticPr fontId="1"/>
  </si>
  <si>
    <t>C6</t>
    <phoneticPr fontId="1"/>
  </si>
  <si>
    <t>C8</t>
    <phoneticPr fontId="1"/>
  </si>
  <si>
    <t>バターワース</t>
    <phoneticPr fontId="1"/>
  </si>
  <si>
    <t>チェビシェフ</t>
    <phoneticPr fontId="1"/>
  </si>
  <si>
    <t>段数</t>
    <rPh sb="0" eb="2">
      <t>ダンスウ</t>
    </rPh>
    <phoneticPr fontId="1"/>
  </si>
  <si>
    <t>特性インピーダンス</t>
    <rPh sb="0" eb="2">
      <t>トクセイ</t>
    </rPh>
    <phoneticPr fontId="1"/>
  </si>
  <si>
    <t>3dBカットオフ周波数</t>
    <rPh sb="8" eb="11">
      <t>シュウハスウ</t>
    </rPh>
    <phoneticPr fontId="1"/>
  </si>
  <si>
    <t>Ω</t>
  </si>
  <si>
    <t>Ω</t>
    <phoneticPr fontId="1"/>
  </si>
  <si>
    <t>MHz</t>
  </si>
  <si>
    <t>MHz</t>
    <phoneticPr fontId="1"/>
  </si>
  <si>
    <t>L9</t>
    <phoneticPr fontId="1"/>
  </si>
  <si>
    <t>C1</t>
  </si>
  <si>
    <t>C1</t>
    <phoneticPr fontId="1"/>
  </si>
  <si>
    <t>C3</t>
  </si>
  <si>
    <t>C3</t>
    <phoneticPr fontId="1"/>
  </si>
  <si>
    <t>C5</t>
  </si>
  <si>
    <t>C5</t>
    <phoneticPr fontId="1"/>
  </si>
  <si>
    <t>C7</t>
  </si>
  <si>
    <t>C7</t>
    <phoneticPr fontId="1"/>
  </si>
  <si>
    <t>C9</t>
    <phoneticPr fontId="1"/>
  </si>
  <si>
    <t>(3,5,7,9 のみ)</t>
    <phoneticPr fontId="1"/>
  </si>
  <si>
    <t>L2</t>
  </si>
  <si>
    <t>並列入力の3次のローパスから変換</t>
  </si>
  <si>
    <t>0.01ｄBチェビシェフ型バンドパスフィルタ</t>
    <rPh sb="12" eb="13">
      <t>カタ</t>
    </rPh>
    <phoneticPr fontId="1"/>
  </si>
  <si>
    <t>直列共振</t>
  </si>
  <si>
    <t>並列共振</t>
  </si>
  <si>
    <t>C</t>
  </si>
  <si>
    <t>L</t>
  </si>
  <si>
    <t>nH</t>
  </si>
  <si>
    <t>pF</t>
  </si>
  <si>
    <t>並列入力の5次ローパスから</t>
  </si>
  <si>
    <t>L4</t>
  </si>
  <si>
    <t>並列枝入力の7次ローパスから</t>
  </si>
  <si>
    <t>L6</t>
  </si>
  <si>
    <t>チェビシェフ 0.05dB 型ローパスフィルター正規化データ</t>
    <rPh sb="14" eb="15">
      <t>カタ</t>
    </rPh>
    <rPh sb="24" eb="27">
      <t>セイキカ</t>
    </rPh>
    <phoneticPr fontId="1"/>
  </si>
  <si>
    <t>チェビシェフ 0.2dB 型ローパスフィルター正規化データ</t>
    <rPh sb="13" eb="14">
      <t>カタ</t>
    </rPh>
    <rPh sb="23" eb="26">
      <t>セイキカ</t>
    </rPh>
    <phoneticPr fontId="1"/>
  </si>
  <si>
    <t>特性インピーダンス</t>
  </si>
  <si>
    <t>中心周波数</t>
  </si>
  <si>
    <t>3dB帯域幅</t>
  </si>
  <si>
    <t>f0中心周波数</t>
  </si>
  <si>
    <t>0.05dBチェビシェフBPF</t>
    <phoneticPr fontId="1"/>
  </si>
  <si>
    <t>pF</t>
    <phoneticPr fontId="1"/>
  </si>
  <si>
    <t>nH</t>
    <phoneticPr fontId="1"/>
  </si>
  <si>
    <t>pF</t>
    <phoneticPr fontId="1"/>
  </si>
  <si>
    <t>nH</t>
    <phoneticPr fontId="1"/>
  </si>
  <si>
    <t>0.2dBチェビシェフBPF</t>
    <phoneticPr fontId="1"/>
  </si>
  <si>
    <t>直列共振</t>
    <rPh sb="0" eb="2">
      <t>チョクレツ</t>
    </rPh>
    <rPh sb="2" eb="4">
      <t>キョウシン</t>
    </rPh>
    <phoneticPr fontId="1"/>
  </si>
  <si>
    <t>C1</t>
    <phoneticPr fontId="1"/>
  </si>
  <si>
    <t>L2</t>
    <phoneticPr fontId="1"/>
  </si>
  <si>
    <t>C3</t>
    <phoneticPr fontId="1"/>
  </si>
  <si>
    <t>L4</t>
    <phoneticPr fontId="1"/>
  </si>
  <si>
    <t>C5</t>
    <phoneticPr fontId="1"/>
  </si>
  <si>
    <t>pF</t>
    <phoneticPr fontId="1"/>
  </si>
  <si>
    <t>uH</t>
    <phoneticPr fontId="1"/>
  </si>
  <si>
    <t>L6</t>
    <phoneticPr fontId="1"/>
  </si>
  <si>
    <t>C7</t>
    <phoneticPr fontId="1"/>
  </si>
  <si>
    <t>L8</t>
    <phoneticPr fontId="1"/>
  </si>
  <si>
    <t>C9</t>
    <phoneticPr fontId="1"/>
  </si>
  <si>
    <t>奇数段ハイパスフィルター</t>
    <rPh sb="0" eb="3">
      <t>キスウダン</t>
    </rPh>
    <phoneticPr fontId="1"/>
  </si>
  <si>
    <t>偶数段ハイパスフィルター</t>
    <rPh sb="0" eb="3">
      <t>グウスウダン</t>
    </rPh>
    <phoneticPr fontId="1"/>
  </si>
  <si>
    <t>（2～9段）</t>
    <rPh sb="4" eb="5">
      <t>ダン</t>
    </rPh>
    <phoneticPr fontId="1"/>
  </si>
  <si>
    <t>MHz</t>
    <phoneticPr fontId="1"/>
  </si>
  <si>
    <t>L(nH)</t>
    <phoneticPr fontId="1"/>
  </si>
  <si>
    <t>C</t>
    <phoneticPr fontId="1"/>
  </si>
  <si>
    <t>L1</t>
  </si>
  <si>
    <t>L3</t>
  </si>
  <si>
    <t>C2</t>
  </si>
  <si>
    <t>C2(pF)</t>
    <phoneticPr fontId="1"/>
  </si>
  <si>
    <t>C(pF)</t>
    <phoneticPr fontId="1"/>
  </si>
  <si>
    <t>バターワース型</t>
    <rPh sb="6" eb="7">
      <t>ガタ</t>
    </rPh>
    <phoneticPr fontId="1"/>
  </si>
  <si>
    <t>L1</t>
    <phoneticPr fontId="1"/>
  </si>
  <si>
    <t>C2</t>
    <phoneticPr fontId="1"/>
  </si>
  <si>
    <t>L3</t>
    <phoneticPr fontId="1"/>
  </si>
  <si>
    <t>C4</t>
    <phoneticPr fontId="1"/>
  </si>
  <si>
    <t>L5</t>
    <phoneticPr fontId="1"/>
  </si>
  <si>
    <t>C</t>
    <phoneticPr fontId="1"/>
  </si>
  <si>
    <t>C3</t>
    <phoneticPr fontId="1"/>
  </si>
  <si>
    <t>C</t>
    <phoneticPr fontId="1"/>
  </si>
  <si>
    <t>L1(nH)</t>
    <phoneticPr fontId="1"/>
  </si>
  <si>
    <t>C2(pF)</t>
    <phoneticPr fontId="1"/>
  </si>
  <si>
    <t>L(nH)</t>
    <phoneticPr fontId="1"/>
  </si>
  <si>
    <t>L3(nH)</t>
    <phoneticPr fontId="1"/>
  </si>
  <si>
    <t>C4(pF)</t>
    <phoneticPr fontId="1"/>
  </si>
  <si>
    <t>L3(nH)</t>
    <phoneticPr fontId="1"/>
  </si>
  <si>
    <t>L1(nH)</t>
    <phoneticPr fontId="1"/>
  </si>
  <si>
    <t>C1(pF)</t>
    <phoneticPr fontId="1"/>
  </si>
  <si>
    <t>L2(nH)</t>
    <phoneticPr fontId="1"/>
  </si>
  <si>
    <t>C2(pF)</t>
    <phoneticPr fontId="1"/>
  </si>
  <si>
    <t>C3(pF)</t>
    <phoneticPr fontId="1"/>
  </si>
  <si>
    <t>L4(nH)</t>
    <phoneticPr fontId="1"/>
  </si>
  <si>
    <t>L5(nH)</t>
    <phoneticPr fontId="1"/>
  </si>
  <si>
    <t>C5(pF)</t>
    <phoneticPr fontId="1"/>
  </si>
  <si>
    <t>C(pF)</t>
    <phoneticPr fontId="1"/>
  </si>
  <si>
    <t>C(pF)</t>
    <phoneticPr fontId="1"/>
  </si>
  <si>
    <t>C2(pF)</t>
    <phoneticPr fontId="1"/>
  </si>
  <si>
    <t>L1(nH)</t>
    <phoneticPr fontId="1"/>
  </si>
  <si>
    <t>C(pF)</t>
    <phoneticPr fontId="1"/>
  </si>
  <si>
    <t>L3(nH)</t>
    <phoneticPr fontId="1"/>
  </si>
  <si>
    <t>変換</t>
    <rPh sb="0" eb="2">
      <t>ヘンカン</t>
    </rPh>
    <phoneticPr fontId="1"/>
  </si>
  <si>
    <t>ここから5次のバンドパス。 L3のみ値が違います。</t>
    <rPh sb="5" eb="6">
      <t>ジ</t>
    </rPh>
    <rPh sb="18" eb="19">
      <t>アタイ</t>
    </rPh>
    <rPh sb="20" eb="21">
      <t>チガ</t>
    </rPh>
    <phoneticPr fontId="1"/>
  </si>
  <si>
    <t>designed by JA3GSE  May 2019</t>
    <phoneticPr fontId="1"/>
  </si>
  <si>
    <t>L1(nH)</t>
    <phoneticPr fontId="1"/>
  </si>
  <si>
    <t>❹</t>
    <phoneticPr fontId="1"/>
  </si>
  <si>
    <t>❸</t>
    <phoneticPr fontId="1"/>
  </si>
  <si>
    <t>❷</t>
    <phoneticPr fontId="1"/>
  </si>
  <si>
    <t>❶</t>
    <phoneticPr fontId="1"/>
  </si>
  <si>
    <t>❸</t>
    <phoneticPr fontId="1"/>
  </si>
  <si>
    <t>❹</t>
    <phoneticPr fontId="1"/>
  </si>
  <si>
    <t>中心周波数</t>
    <rPh sb="0" eb="2">
      <t>チュウシン</t>
    </rPh>
    <rPh sb="2" eb="5">
      <t>シュウハスウ</t>
    </rPh>
    <phoneticPr fontId="1"/>
  </si>
  <si>
    <t>ｲﾝﾋﾟｰﾀﾞﾝｽ</t>
    <phoneticPr fontId="1"/>
  </si>
  <si>
    <t>仮ｲﾝﾀﾞｸﾀﾝｽ</t>
    <rPh sb="0" eb="1">
      <t>カリ</t>
    </rPh>
    <phoneticPr fontId="1"/>
  </si>
  <si>
    <t>【注意】入力は左の3コマ（中心周波数・バンド幅・インピーダンス）のみ入力すること！</t>
    <rPh sb="1" eb="3">
      <t>チュウイ</t>
    </rPh>
    <rPh sb="4" eb="6">
      <t>ニュウリョク</t>
    </rPh>
    <rPh sb="7" eb="8">
      <t>ヒダリ</t>
    </rPh>
    <rPh sb="13" eb="18">
      <t>チュウシンシュウハスウ</t>
    </rPh>
    <rPh sb="22" eb="23">
      <t>ハバ</t>
    </rPh>
    <rPh sb="34" eb="36">
      <t>ニュウリョク</t>
    </rPh>
    <phoneticPr fontId="1"/>
  </si>
  <si>
    <t>共振器結合型バンドパスフィルター</t>
    <rPh sb="0" eb="3">
      <t>キョウシンキ</t>
    </rPh>
    <rPh sb="3" eb="6">
      <t>ケツゴウガタ</t>
    </rPh>
    <phoneticPr fontId="1"/>
  </si>
  <si>
    <t>MHz</t>
    <phoneticPr fontId="1"/>
  </si>
  <si>
    <t>Ω</t>
    <phoneticPr fontId="1"/>
  </si>
  <si>
    <t>uH</t>
    <phoneticPr fontId="1"/>
  </si>
  <si>
    <t>必要な値は下のカラーセルに表示されます。</t>
    <rPh sb="0" eb="2">
      <t>ヒツヨウ</t>
    </rPh>
    <rPh sb="3" eb="4">
      <t>アタイ</t>
    </rPh>
    <rPh sb="5" eb="6">
      <t>シタ</t>
    </rPh>
    <rPh sb="13" eb="15">
      <t>ヒョウジ</t>
    </rPh>
    <phoneticPr fontId="1"/>
  </si>
  <si>
    <t>Dec/13/2013  JA3GSE  作成</t>
    <rPh sb="0" eb="23">
      <t>サクセイ</t>
    </rPh>
    <phoneticPr fontId="1"/>
  </si>
  <si>
    <t>Designed again by JA3GSE M.TSUJI on May 15 2019</t>
    <phoneticPr fontId="1"/>
  </si>
  <si>
    <t>幾何学的中心周波数</t>
    <rPh sb="0" eb="2">
      <t>キカ</t>
    </rPh>
    <rPh sb="2" eb="3">
      <t>ガク</t>
    </rPh>
    <rPh sb="3" eb="4">
      <t>テキ</t>
    </rPh>
    <rPh sb="4" eb="6">
      <t>チュウシン</t>
    </rPh>
    <rPh sb="6" eb="9">
      <t>シュウハスウ</t>
    </rPh>
    <phoneticPr fontId="1"/>
  </si>
  <si>
    <t>g1</t>
    <phoneticPr fontId="1"/>
  </si>
  <si>
    <t>g1</t>
    <phoneticPr fontId="1"/>
  </si>
  <si>
    <t>g2</t>
    <phoneticPr fontId="1"/>
  </si>
  <si>
    <t>k12</t>
    <phoneticPr fontId="1"/>
  </si>
  <si>
    <t>K12</t>
    <phoneticPr fontId="1"/>
  </si>
  <si>
    <t>C12</t>
    <phoneticPr fontId="1"/>
  </si>
  <si>
    <t>I</t>
    <phoneticPr fontId="1"/>
  </si>
  <si>
    <t>pF</t>
    <phoneticPr fontId="1"/>
  </si>
  <si>
    <t>２次</t>
    <rPh sb="1" eb="2">
      <t>ジ</t>
    </rPh>
    <phoneticPr fontId="1"/>
  </si>
  <si>
    <t>L</t>
    <phoneticPr fontId="1"/>
  </si>
  <si>
    <t>uH</t>
    <phoneticPr fontId="1"/>
  </si>
  <si>
    <t>g2</t>
    <phoneticPr fontId="1"/>
  </si>
  <si>
    <t>g3</t>
    <phoneticPr fontId="1"/>
  </si>
  <si>
    <t>k23</t>
    <phoneticPr fontId="1"/>
  </si>
  <si>
    <t>K12</t>
    <phoneticPr fontId="1"/>
  </si>
  <si>
    <t>K23</t>
    <phoneticPr fontId="1"/>
  </si>
  <si>
    <t>Z1 &amp; Z2</t>
    <phoneticPr fontId="1"/>
  </si>
  <si>
    <t>C12</t>
    <phoneticPr fontId="1"/>
  </si>
  <si>
    <t>C23</t>
    <phoneticPr fontId="1"/>
  </si>
  <si>
    <t>I</t>
    <phoneticPr fontId="1"/>
  </si>
  <si>
    <t>pF</t>
    <phoneticPr fontId="1"/>
  </si>
  <si>
    <t>L</t>
    <phoneticPr fontId="1"/>
  </si>
  <si>
    <t>３次</t>
    <rPh sb="1" eb="2">
      <t>ジ</t>
    </rPh>
    <phoneticPr fontId="1"/>
  </si>
  <si>
    <t>バターワース型参考データ</t>
    <rPh sb="6" eb="7">
      <t>ガタ</t>
    </rPh>
    <rPh sb="7" eb="9">
      <t>サンコウ</t>
    </rPh>
    <phoneticPr fontId="1"/>
  </si>
  <si>
    <t>3.6MHｚ</t>
    <phoneticPr fontId="1"/>
  </si>
  <si>
    <t>緑</t>
    <rPh sb="0" eb="1">
      <t>ミドリ</t>
    </rPh>
    <phoneticPr fontId="1"/>
  </si>
  <si>
    <t>２次バンドパス</t>
    <rPh sb="1" eb="2">
      <t>ジ</t>
    </rPh>
    <phoneticPr fontId="1"/>
  </si>
  <si>
    <t>g3</t>
    <phoneticPr fontId="1"/>
  </si>
  <si>
    <t>g4</t>
    <phoneticPr fontId="1"/>
  </si>
  <si>
    <t>バンド幅</t>
    <rPh sb="3" eb="4">
      <t>ハバ</t>
    </rPh>
    <phoneticPr fontId="1"/>
  </si>
  <si>
    <t>0.8MHz</t>
    <phoneticPr fontId="1"/>
  </si>
  <si>
    <t>青</t>
    <rPh sb="0" eb="1">
      <t>アオ</t>
    </rPh>
    <phoneticPr fontId="1"/>
  </si>
  <si>
    <t>３次バンドパス</t>
    <rPh sb="1" eb="2">
      <t>ジ</t>
    </rPh>
    <phoneticPr fontId="1"/>
  </si>
  <si>
    <t>k12</t>
    <phoneticPr fontId="1"/>
  </si>
  <si>
    <t>k23</t>
    <phoneticPr fontId="1"/>
  </si>
  <si>
    <t>k34</t>
    <phoneticPr fontId="1"/>
  </si>
  <si>
    <t>C12</t>
    <phoneticPr fontId="1"/>
  </si>
  <si>
    <t>C23</t>
    <phoneticPr fontId="1"/>
  </si>
  <si>
    <t>C34</t>
    <phoneticPr fontId="1"/>
  </si>
  <si>
    <t>1KΩ</t>
    <phoneticPr fontId="1"/>
  </si>
  <si>
    <t>赤</t>
    <rPh sb="0" eb="1">
      <t>アカ</t>
    </rPh>
    <phoneticPr fontId="1"/>
  </si>
  <si>
    <t>４次バンドパス</t>
    <rPh sb="1" eb="2">
      <t>ジ</t>
    </rPh>
    <phoneticPr fontId="1"/>
  </si>
  <si>
    <t>K12</t>
    <phoneticPr fontId="1"/>
  </si>
  <si>
    <t>K23</t>
    <phoneticPr fontId="1"/>
  </si>
  <si>
    <t>K34</t>
    <phoneticPr fontId="1"/>
  </si>
  <si>
    <t>Ω</t>
    <phoneticPr fontId="1"/>
  </si>
  <si>
    <t>Ω</t>
    <phoneticPr fontId="1"/>
  </si>
  <si>
    <t>pF</t>
    <phoneticPr fontId="1"/>
  </si>
  <si>
    <t>４次</t>
    <rPh sb="1" eb="2">
      <t>ジ</t>
    </rPh>
    <phoneticPr fontId="1"/>
  </si>
  <si>
    <t>I</t>
    <phoneticPr fontId="1"/>
  </si>
  <si>
    <t>C1</t>
    <phoneticPr fontId="1"/>
  </si>
  <si>
    <t>g1</t>
    <phoneticPr fontId="1"/>
  </si>
  <si>
    <t>g2</t>
    <phoneticPr fontId="1"/>
  </si>
  <si>
    <t>g3</t>
    <phoneticPr fontId="1"/>
  </si>
  <si>
    <t>C23</t>
    <phoneticPr fontId="1"/>
  </si>
  <si>
    <t>L</t>
    <phoneticPr fontId="1"/>
  </si>
  <si>
    <t>pF</t>
    <phoneticPr fontId="1"/>
  </si>
  <si>
    <t>❶バターワース</t>
    <phoneticPr fontId="1"/>
  </si>
  <si>
    <t>❷チェビシェフ 0.01dB</t>
    <phoneticPr fontId="1"/>
  </si>
  <si>
    <t xml:space="preserve">❸チェビシェフ 0.05dB </t>
    <phoneticPr fontId="1"/>
  </si>
  <si>
    <t xml:space="preserve">❹チェビシェフ 0.2dB </t>
    <phoneticPr fontId="1"/>
  </si>
  <si>
    <t>or</t>
    <phoneticPr fontId="1"/>
  </si>
  <si>
    <t>ローパスフィルター</t>
    <phoneticPr fontId="1"/>
  </si>
  <si>
    <t>ここに入力</t>
    <rPh sb="3" eb="5">
      <t>ニュウリョク</t>
    </rPh>
    <phoneticPr fontId="1"/>
  </si>
  <si>
    <t>designed by JA3GSE M.TSUJI</t>
    <phoneticPr fontId="1"/>
  </si>
  <si>
    <t>ハイパスフィルター</t>
    <phoneticPr fontId="1"/>
  </si>
  <si>
    <r>
      <t>段数を奇数にするとCで入力、Cで出力できる。さらにコイルが少なくて済む利点あり。</t>
    </r>
    <r>
      <rPr>
        <b/>
        <sz val="11"/>
        <color rgb="FFFF0000"/>
        <rFont val="ＭＳ Ｐゴシック"/>
        <family val="3"/>
        <charset val="128"/>
        <scheme val="minor"/>
      </rPr>
      <t>チェビシェフの場合は 3, 5, 7, 9 段の奇数のみ。</t>
    </r>
    <rPh sb="0" eb="2">
      <t>ダンスウ</t>
    </rPh>
    <rPh sb="3" eb="5">
      <t>キスウ</t>
    </rPh>
    <rPh sb="11" eb="13">
      <t>ニュウリョク</t>
    </rPh>
    <rPh sb="16" eb="18">
      <t>シュツリョク</t>
    </rPh>
    <rPh sb="29" eb="30">
      <t>スク</t>
    </rPh>
    <rPh sb="33" eb="34">
      <t>ス</t>
    </rPh>
    <rPh sb="35" eb="37">
      <t>リテン</t>
    </rPh>
    <rPh sb="47" eb="49">
      <t>バアイ</t>
    </rPh>
    <rPh sb="62" eb="63">
      <t>ダン</t>
    </rPh>
    <rPh sb="64" eb="66">
      <t>キスウ</t>
    </rPh>
    <phoneticPr fontId="1"/>
  </si>
  <si>
    <t>❷チェビシェフ 0.01dB</t>
    <phoneticPr fontId="1"/>
  </si>
  <si>
    <t>❸チェビシェフ 0.05dB</t>
    <phoneticPr fontId="1"/>
  </si>
  <si>
    <t>❹チェビシェフ 0.2dB</t>
    <phoneticPr fontId="1"/>
  </si>
  <si>
    <t>designed by JA3GSE M.TSUJI</t>
    <phoneticPr fontId="1"/>
  </si>
  <si>
    <t>designed by JA3GSE M.TSUJI</t>
    <phoneticPr fontId="1"/>
  </si>
  <si>
    <t>impedance</t>
    <phoneticPr fontId="1"/>
  </si>
  <si>
    <t>0.01ｄB Chebyshev型</t>
    <rPh sb="16" eb="17">
      <t>ガタ</t>
    </rPh>
    <phoneticPr fontId="1"/>
  </si>
  <si>
    <t>k35</t>
    <phoneticPr fontId="1"/>
  </si>
  <si>
    <t>K35</t>
    <phoneticPr fontId="1"/>
  </si>
  <si>
    <t>Zin &amp; Zout</t>
    <phoneticPr fontId="1"/>
  </si>
  <si>
    <t>Ω</t>
    <phoneticPr fontId="1"/>
  </si>
  <si>
    <t>C12</t>
    <phoneticPr fontId="1"/>
  </si>
  <si>
    <t>C23</t>
    <phoneticPr fontId="1"/>
  </si>
  <si>
    <t>C34</t>
    <phoneticPr fontId="1"/>
  </si>
  <si>
    <t>C45</t>
    <phoneticPr fontId="1"/>
  </si>
  <si>
    <t>C4</t>
    <phoneticPr fontId="1"/>
  </si>
  <si>
    <t>C5</t>
    <phoneticPr fontId="1"/>
  </si>
  <si>
    <t>0.05ｄB Chebyshev型</t>
    <rPh sb="16" eb="17">
      <t>ガタ</t>
    </rPh>
    <phoneticPr fontId="1"/>
  </si>
  <si>
    <t>0.2ｄB Chebyshev型</t>
    <rPh sb="15" eb="16">
      <t>ガタ</t>
    </rPh>
    <phoneticPr fontId="1"/>
  </si>
  <si>
    <t>FCZコイルデータ</t>
    <phoneticPr fontId="1"/>
  </si>
  <si>
    <t>Filter 帯域内の特性比較</t>
    <rPh sb="7" eb="9">
      <t>タイイキ</t>
    </rPh>
    <rPh sb="9" eb="10">
      <t>ナイ</t>
    </rPh>
    <rPh sb="11" eb="13">
      <t>トクセイ</t>
    </rPh>
    <rPh sb="13" eb="15">
      <t>ヒカク</t>
    </rPh>
    <phoneticPr fontId="1"/>
  </si>
  <si>
    <t>3次容量結合型 BPFの比較、黄色はButtterworth、緑は0.2dB Chebyshev</t>
    <rPh sb="1" eb="2">
      <t>ジ</t>
    </rPh>
    <rPh sb="2" eb="7">
      <t>ヨウリョウケツゴウガタ</t>
    </rPh>
    <rPh sb="12" eb="14">
      <t>ヒカク</t>
    </rPh>
    <rPh sb="15" eb="17">
      <t>キイロ</t>
    </rPh>
    <rPh sb="31" eb="32">
      <t>ミドリ</t>
    </rPh>
    <phoneticPr fontId="1"/>
  </si>
  <si>
    <t>【注意】Chebyshev型の偶数段設計では入出力のインピーダンスが異なる為記載していません。</t>
    <rPh sb="1" eb="3">
      <t>チュウイ</t>
    </rPh>
    <rPh sb="13" eb="14">
      <t>ガタ</t>
    </rPh>
    <rPh sb="15" eb="17">
      <t>グウスウ</t>
    </rPh>
    <rPh sb="17" eb="18">
      <t>ダン</t>
    </rPh>
    <rPh sb="18" eb="20">
      <t>セッケイ</t>
    </rPh>
    <rPh sb="22" eb="25">
      <t>ニュウシュツリョク</t>
    </rPh>
    <rPh sb="34" eb="35">
      <t>コト</t>
    </rPh>
    <rPh sb="37" eb="38">
      <t>タメ</t>
    </rPh>
    <rPh sb="38" eb="40">
      <t>キサイ</t>
    </rPh>
    <phoneticPr fontId="1"/>
  </si>
  <si>
    <t>Zin</t>
    <phoneticPr fontId="1"/>
  </si>
  <si>
    <t>Zout</t>
    <phoneticPr fontId="1"/>
  </si>
  <si>
    <t>Zin</t>
    <phoneticPr fontId="1"/>
  </si>
  <si>
    <t>C3</t>
    <phoneticPr fontId="1"/>
  </si>
  <si>
    <t>C1</t>
    <phoneticPr fontId="1"/>
  </si>
  <si>
    <t>L</t>
    <phoneticPr fontId="1"/>
  </si>
  <si>
    <t>C4</t>
  </si>
  <si>
    <t>C6</t>
  </si>
  <si>
    <t>C6</t>
    <phoneticPr fontId="1"/>
  </si>
  <si>
    <t>N</t>
  </si>
  <si>
    <t>N</t>
    <phoneticPr fontId="1"/>
  </si>
  <si>
    <t>Cを２分割</t>
  </si>
  <si>
    <t>Cを２分割</t>
    <rPh sb="3" eb="5">
      <t>ブンカツ</t>
    </rPh>
    <phoneticPr fontId="1"/>
  </si>
  <si>
    <t>pF</t>
    <phoneticPr fontId="1"/>
  </si>
  <si>
    <t>nH</t>
    <phoneticPr fontId="1"/>
  </si>
  <si>
    <t>C2</t>
    <phoneticPr fontId="1"/>
  </si>
  <si>
    <t>Norton変換後の回路で同じコイルが使えます。</t>
    <rPh sb="6" eb="8">
      <t>ヘンカン</t>
    </rPh>
    <rPh sb="8" eb="9">
      <t>ゴ</t>
    </rPh>
    <rPh sb="10" eb="12">
      <t>カイロ</t>
    </rPh>
    <rPh sb="13" eb="14">
      <t>オナ</t>
    </rPh>
    <rPh sb="19" eb="20">
      <t>ツカ</t>
    </rPh>
    <phoneticPr fontId="1"/>
  </si>
  <si>
    <t>C4</t>
    <phoneticPr fontId="1"/>
  </si>
  <si>
    <t>C5</t>
    <phoneticPr fontId="1"/>
  </si>
  <si>
    <t>programed by JA3GSE M.Tsuji</t>
    <phoneticPr fontId="1"/>
  </si>
  <si>
    <t>5次</t>
    <rPh sb="1" eb="2">
      <t>ジ</t>
    </rPh>
    <phoneticPr fontId="1"/>
  </si>
  <si>
    <t>5次バターワース型</t>
    <rPh sb="1" eb="2">
      <t>ジ</t>
    </rPh>
    <rPh sb="8" eb="9">
      <t>ガタ</t>
    </rPh>
    <phoneticPr fontId="1"/>
  </si>
  <si>
    <t>3次 バターワース型</t>
    <rPh sb="1" eb="2">
      <t>ジ</t>
    </rPh>
    <rPh sb="9" eb="10">
      <t>ガタ</t>
    </rPh>
    <phoneticPr fontId="1"/>
  </si>
  <si>
    <t>3次 0.01dBﾁｪﾋﾞｼｪﾌ型</t>
    <rPh sb="1" eb="2">
      <t>ジ</t>
    </rPh>
    <rPh sb="16" eb="17">
      <t>ガタ</t>
    </rPh>
    <phoneticPr fontId="1"/>
  </si>
  <si>
    <t>3次 0.05dBﾁｪﾋﾞｼｪﾌ型</t>
    <rPh sb="1" eb="2">
      <t>ジ</t>
    </rPh>
    <rPh sb="16" eb="17">
      <t>ガタ</t>
    </rPh>
    <phoneticPr fontId="1"/>
  </si>
  <si>
    <t>3次 0.2dBﾁｪﾋﾞｼｪﾌ型</t>
    <rPh sb="1" eb="2">
      <t>ジ</t>
    </rPh>
    <rPh sb="15" eb="16">
      <t>ガタ</t>
    </rPh>
    <phoneticPr fontId="1"/>
  </si>
  <si>
    <t>5次 0.01dB　チェビシェフ型</t>
    <rPh sb="1" eb="2">
      <t>ジ</t>
    </rPh>
    <rPh sb="16" eb="17">
      <t>ガタ</t>
    </rPh>
    <phoneticPr fontId="1"/>
  </si>
  <si>
    <t>5次 0.05dB　チェビシェフ型</t>
    <rPh sb="1" eb="2">
      <t>ジ</t>
    </rPh>
    <rPh sb="16" eb="17">
      <t>ガタ</t>
    </rPh>
    <phoneticPr fontId="1"/>
  </si>
  <si>
    <t>5次 0.2dB　チェビシェフ型</t>
    <rPh sb="1" eb="2">
      <t>ジ</t>
    </rPh>
    <rPh sb="15" eb="16">
      <t>ガタ</t>
    </rPh>
    <phoneticPr fontId="1"/>
  </si>
  <si>
    <t>C分割によるインピーダンス変換</t>
  </si>
  <si>
    <t>回路ｲﾝﾋﾟｰﾀﾞﾝｽ(Z)</t>
  </si>
  <si>
    <t>C1=</t>
  </si>
  <si>
    <t>C2=</t>
  </si>
  <si>
    <t>回路アース間のCの値</t>
  </si>
  <si>
    <t>ｐF</t>
  </si>
  <si>
    <t>変更するｲﾝﾋﾟｰﾀﾞﾝｽ(Zout)</t>
    <phoneticPr fontId="1"/>
  </si>
  <si>
    <t>変更するｲﾝﾋﾟｰﾀﾞﾝｽ(Zout)</t>
  </si>
  <si>
    <t>dB</t>
  </si>
  <si>
    <t>dB</t>
    <phoneticPr fontId="1"/>
  </si>
  <si>
    <t>電圧減衰</t>
    <rPh sb="0" eb="2">
      <t>デンアツ</t>
    </rPh>
    <rPh sb="2" eb="4">
      <t>ゲンスイ</t>
    </rPh>
    <phoneticPr fontId="1"/>
  </si>
  <si>
    <t>電圧減衰</t>
    <rPh sb="0" eb="2">
      <t>デンアツ</t>
    </rPh>
    <phoneticPr fontId="1"/>
  </si>
  <si>
    <t>ジャイレータ変換</t>
    <rPh sb="6" eb="8">
      <t>ヘンカン</t>
    </rPh>
    <phoneticPr fontId="1"/>
  </si>
  <si>
    <t>製作しやすいようにT型バンドパスフィルターからイマジナリージャイレータ変換をしてLの値を同一にする設計プログラムです。</t>
    <rPh sb="0" eb="2">
      <t>セイサク</t>
    </rPh>
    <rPh sb="10" eb="11">
      <t>ガタ</t>
    </rPh>
    <rPh sb="35" eb="37">
      <t>ヘンカン</t>
    </rPh>
    <rPh sb="42" eb="43">
      <t>アタイ</t>
    </rPh>
    <rPh sb="44" eb="46">
      <t>ドウイツ</t>
    </rPh>
    <rPh sb="49" eb="51">
      <t>セッケイ</t>
    </rPh>
    <phoneticPr fontId="1"/>
  </si>
  <si>
    <t>入力場所</t>
    <rPh sb="0" eb="2">
      <t>ニュウリョク</t>
    </rPh>
    <rPh sb="2" eb="4">
      <t>バショ</t>
    </rPh>
    <phoneticPr fontId="1"/>
  </si>
  <si>
    <t>入力場所は３次と５次フィルターの間に変更しています。右側を下にスクロールください、入力画面が現れます。</t>
    <rPh sb="0" eb="2">
      <t>ニュウリョク</t>
    </rPh>
    <rPh sb="2" eb="4">
      <t>バショ</t>
    </rPh>
    <rPh sb="6" eb="7">
      <t>ジ</t>
    </rPh>
    <rPh sb="9" eb="10">
      <t>ジ</t>
    </rPh>
    <rPh sb="16" eb="17">
      <t>アイダ</t>
    </rPh>
    <rPh sb="18" eb="20">
      <t>ヘンコウ</t>
    </rPh>
    <rPh sb="26" eb="28">
      <t>ミギガワ</t>
    </rPh>
    <rPh sb="29" eb="30">
      <t>シタ</t>
    </rPh>
    <rPh sb="41" eb="43">
      <t>ニュウリョク</t>
    </rPh>
    <rPh sb="43" eb="45">
      <t>ガメン</t>
    </rPh>
    <rPh sb="46" eb="47">
      <t>アラワ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</si>
</sst>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000_ "/>
    <numFmt numFmtId="177" formatCode="0.00_ "/>
    <numFmt numFmtId="178" formatCode="0.0_ "/>
    <numFmt numFmtId="179" formatCode="0_ "/>
    <numFmt numFmtId="180" formatCode="0.0_);[Red]\(0.0\)"/>
    <numFmt numFmtId="181" formatCode="#,##0.0_ "/>
    <numFmt numFmtId="182" formatCode=";\ ;\ ;"/>
    <numFmt numFmtId="183" formatCode="#,##0.0_);[Red]\(#,##0.0\)"/>
    <numFmt numFmtId="184" formatCode="0.00000_);[Red]\(0.00000\)"/>
    <numFmt numFmtId="185" formatCode="0.0000_);[Red]\(0.0000\)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2"/>
      <color rgb="FFC00000"/>
      <name val="ＭＳ Ｐゴシック"/>
      <family val="3"/>
      <charset val="128"/>
      <scheme val="minor"/>
    </font>
    <font>
      <b/>
      <sz val="12"/>
      <color rgb="FF7030A0"/>
      <name val="ＭＳ Ｐゴシック"/>
      <family val="3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5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4"/>
      <color theme="8" tint="-0.249977111117893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0" xfId="0" applyProtection="1">
      <alignment vertical="center"/>
    </xf>
    <xf numFmtId="176" fontId="0" fillId="0" borderId="0" xfId="0" applyNumberForma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179" fontId="0" fillId="3" borderId="1" xfId="0" applyNumberFormat="1" applyFill="1" applyBorder="1" applyProtection="1">
      <alignment vertical="center"/>
      <protection locked="0"/>
    </xf>
    <xf numFmtId="177" fontId="0" fillId="3" borderId="1" xfId="0" applyNumberFormat="1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14" borderId="1" xfId="0" applyFill="1" applyBorder="1" applyAlignment="1" applyProtection="1">
      <alignment horizontal="center" vertical="center"/>
    </xf>
    <xf numFmtId="176" fontId="0" fillId="0" borderId="0" xfId="0" applyNumberFormat="1" applyAlignment="1" applyProtection="1">
      <alignment horizontal="center" vertical="center"/>
    </xf>
    <xf numFmtId="178" fontId="0" fillId="5" borderId="0" xfId="0" applyNumberFormat="1" applyFill="1" applyProtection="1">
      <alignment vertical="center"/>
    </xf>
    <xf numFmtId="178" fontId="0" fillId="0" borderId="0" xfId="0" applyNumberFormat="1" applyAlignment="1" applyProtection="1">
      <alignment horizontal="center" vertical="center"/>
    </xf>
    <xf numFmtId="178" fontId="0" fillId="5" borderId="0" xfId="0" applyNumberFormat="1" applyFill="1" applyAlignment="1" applyProtection="1">
      <alignment horizontal="center" vertical="center"/>
    </xf>
    <xf numFmtId="178" fontId="0" fillId="0" borderId="0" xfId="0" applyNumberFormat="1" applyAlignment="1" applyProtection="1">
      <alignment horizontal="right" vertical="center"/>
    </xf>
    <xf numFmtId="178" fontId="0" fillId="4" borderId="0" xfId="0" applyNumberFormat="1" applyFill="1" applyProtection="1">
      <alignment vertical="center"/>
    </xf>
    <xf numFmtId="178" fontId="0" fillId="4" borderId="0" xfId="0" applyNumberFormat="1" applyFill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180" fontId="0" fillId="5" borderId="0" xfId="0" applyNumberFormat="1" applyFill="1" applyProtection="1">
      <alignment vertical="center"/>
    </xf>
    <xf numFmtId="180" fontId="0" fillId="0" borderId="0" xfId="0" applyNumberFormat="1" applyAlignment="1" applyProtection="1">
      <alignment horizontal="center" vertical="center"/>
    </xf>
    <xf numFmtId="180" fontId="0" fillId="0" borderId="0" xfId="0" applyNumberFormat="1" applyAlignment="1" applyProtection="1">
      <alignment horizontal="right" vertical="center"/>
    </xf>
    <xf numFmtId="180" fontId="0" fillId="4" borderId="0" xfId="0" applyNumberFormat="1" applyFill="1" applyProtection="1">
      <alignment vertical="center"/>
    </xf>
    <xf numFmtId="180" fontId="0" fillId="0" borderId="0" xfId="0" applyNumberFormat="1" applyProtection="1">
      <alignment vertical="center"/>
    </xf>
    <xf numFmtId="178" fontId="0" fillId="0" borderId="0" xfId="0" applyNumberFormat="1" applyProtection="1">
      <alignment vertical="center"/>
    </xf>
    <xf numFmtId="0" fontId="0" fillId="0" borderId="0" xfId="0" applyNumberFormat="1" applyAlignment="1" applyProtection="1">
      <alignment horizontal="right" vertical="center"/>
    </xf>
    <xf numFmtId="177" fontId="0" fillId="0" borderId="0" xfId="0" applyNumberFormat="1" applyAlignment="1" applyProtection="1">
      <alignment horizontal="right" vertical="center"/>
    </xf>
    <xf numFmtId="0" fontId="7" fillId="0" borderId="0" xfId="0" applyFont="1" applyProtection="1">
      <alignment vertical="center"/>
    </xf>
    <xf numFmtId="0" fontId="0" fillId="0" borderId="1" xfId="0" applyBorder="1" applyProtection="1">
      <alignment vertical="center"/>
    </xf>
    <xf numFmtId="176" fontId="0" fillId="0" borderId="1" xfId="0" applyNumberFormat="1" applyBorder="1" applyProtection="1">
      <alignment vertical="center"/>
    </xf>
    <xf numFmtId="176" fontId="2" fillId="0" borderId="0" xfId="0" applyNumberFormat="1" applyFont="1" applyProtection="1">
      <alignment vertical="center"/>
    </xf>
    <xf numFmtId="0" fontId="20" fillId="0" borderId="0" xfId="0" applyFont="1" applyProtection="1">
      <alignment vertical="center"/>
    </xf>
    <xf numFmtId="179" fontId="0" fillId="7" borderId="1" xfId="0" applyNumberFormat="1" applyFill="1" applyBorder="1" applyProtection="1">
      <alignment vertical="center"/>
      <protection locked="0"/>
    </xf>
    <xf numFmtId="178" fontId="0" fillId="7" borderId="1" xfId="0" applyNumberFormat="1" applyFill="1" applyBorder="1" applyProtection="1">
      <alignment vertical="center"/>
      <protection locked="0"/>
    </xf>
    <xf numFmtId="184" fontId="0" fillId="0" borderId="0" xfId="0" applyNumberFormat="1" applyProtection="1">
      <alignment vertical="center"/>
    </xf>
    <xf numFmtId="184" fontId="0" fillId="0" borderId="0" xfId="0" applyNumberFormat="1" applyAlignment="1" applyProtection="1">
      <alignment horizontal="right" vertical="center"/>
    </xf>
    <xf numFmtId="0" fontId="0" fillId="0" borderId="0" xfId="0" applyNumberFormat="1" applyProtection="1">
      <alignment vertical="center"/>
    </xf>
    <xf numFmtId="0" fontId="4" fillId="11" borderId="2" xfId="0" applyNumberFormat="1" applyFont="1" applyFill="1" applyBorder="1" applyProtection="1">
      <alignment vertical="center"/>
      <protection locked="0"/>
    </xf>
    <xf numFmtId="0" fontId="4" fillId="14" borderId="2" xfId="0" applyNumberFormat="1" applyFont="1" applyFill="1" applyBorder="1" applyProtection="1">
      <alignment vertical="center"/>
      <protection locked="0"/>
    </xf>
    <xf numFmtId="0" fontId="4" fillId="12" borderId="2" xfId="0" applyNumberFormat="1" applyFont="1" applyFill="1" applyBorder="1" applyProtection="1">
      <alignment vertical="center"/>
      <protection locked="0"/>
    </xf>
    <xf numFmtId="0" fontId="24" fillId="0" borderId="0" xfId="0" applyNumberFormat="1" applyFont="1" applyAlignment="1" applyProtection="1">
      <alignment horizontal="center" vertical="center"/>
    </xf>
    <xf numFmtId="0" fontId="4" fillId="0" borderId="0" xfId="0" applyNumberFormat="1" applyFont="1" applyAlignment="1" applyProtection="1">
      <alignment horizontal="center" vertical="center" wrapText="1"/>
    </xf>
    <xf numFmtId="182" fontId="0" fillId="0" borderId="0" xfId="0" applyNumberFormat="1" applyProtection="1">
      <alignment vertical="center"/>
    </xf>
    <xf numFmtId="182" fontId="9" fillId="0" borderId="0" xfId="0" applyNumberFormat="1" applyFont="1" applyFill="1" applyProtection="1">
      <alignment vertical="center"/>
    </xf>
    <xf numFmtId="0" fontId="11" fillId="0" borderId="0" xfId="0" applyNumberFormat="1" applyFont="1" applyProtection="1">
      <alignment vertical="center"/>
    </xf>
    <xf numFmtId="0" fontId="0" fillId="0" borderId="0" xfId="0" applyNumberFormat="1" applyProtection="1">
      <alignment vertical="center"/>
      <protection hidden="1"/>
    </xf>
    <xf numFmtId="0" fontId="23" fillId="0" borderId="0" xfId="0" applyNumberFormat="1" applyFont="1" applyAlignment="1" applyProtection="1">
      <alignment horizontal="right" vertical="center"/>
    </xf>
    <xf numFmtId="0" fontId="23" fillId="0" borderId="0" xfId="0" applyNumberFormat="1" applyFont="1" applyProtection="1">
      <alignment vertical="center"/>
    </xf>
    <xf numFmtId="182" fontId="0" fillId="0" borderId="0" xfId="0" applyNumberFormat="1" applyAlignment="1" applyProtection="1">
      <alignment horizontal="right" vertical="center"/>
    </xf>
    <xf numFmtId="0" fontId="0" fillId="0" borderId="0" xfId="0" quotePrefix="1" applyNumberFormat="1" applyProtection="1">
      <alignment vertical="center"/>
    </xf>
    <xf numFmtId="182" fontId="0" fillId="0" borderId="0" xfId="0" applyNumberFormat="1" applyAlignment="1" applyProtection="1">
      <alignment vertical="center" wrapText="1"/>
    </xf>
    <xf numFmtId="0" fontId="10" fillId="0" borderId="0" xfId="0" applyNumberFormat="1" applyFont="1" applyProtection="1">
      <alignment vertical="center"/>
    </xf>
    <xf numFmtId="0" fontId="12" fillId="0" borderId="0" xfId="0" applyNumberFormat="1" applyFont="1" applyProtection="1">
      <alignment vertic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Protection="1">
      <alignment vertical="center"/>
    </xf>
    <xf numFmtId="182" fontId="0" fillId="15" borderId="0" xfId="0" applyNumberFormat="1" applyFill="1" applyProtection="1">
      <alignment vertical="center"/>
    </xf>
    <xf numFmtId="0" fontId="0" fillId="10" borderId="0" xfId="0" applyNumberFormat="1" applyFill="1" applyProtection="1">
      <alignment vertical="center"/>
    </xf>
    <xf numFmtId="178" fontId="0" fillId="16" borderId="0" xfId="0" applyNumberFormat="1" applyFill="1" applyProtection="1">
      <alignment vertical="center"/>
    </xf>
    <xf numFmtId="0" fontId="0" fillId="0" borderId="0" xfId="0" applyNumberFormat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center" vertical="center"/>
    </xf>
    <xf numFmtId="176" fontId="21" fillId="17" borderId="0" xfId="0" applyNumberFormat="1" applyFont="1" applyFill="1" applyProtection="1">
      <alignment vertical="center"/>
    </xf>
    <xf numFmtId="180" fontId="21" fillId="11" borderId="0" xfId="0" applyNumberFormat="1" applyFont="1" applyFill="1" applyProtection="1">
      <alignment vertical="center"/>
    </xf>
    <xf numFmtId="176" fontId="0" fillId="0" borderId="0" xfId="0" applyNumberFormat="1" applyAlignment="1" applyProtection="1">
      <alignment horizontal="right" vertical="center"/>
    </xf>
    <xf numFmtId="0" fontId="21" fillId="0" borderId="0" xfId="0" applyNumberFormat="1" applyFont="1" applyProtection="1">
      <alignment vertical="center"/>
    </xf>
    <xf numFmtId="180" fontId="21" fillId="9" borderId="0" xfId="0" applyNumberFormat="1" applyFont="1" applyFill="1" applyProtection="1">
      <alignment vertical="center"/>
    </xf>
    <xf numFmtId="0" fontId="13" fillId="0" borderId="0" xfId="0" applyNumberFormat="1" applyFont="1" applyProtection="1">
      <alignment vertical="center"/>
    </xf>
    <xf numFmtId="0" fontId="13" fillId="0" borderId="0" xfId="0" applyNumberFormat="1" applyFont="1" applyAlignment="1" applyProtection="1">
      <alignment horizontal="center" vertical="center"/>
    </xf>
    <xf numFmtId="185" fontId="21" fillId="17" borderId="0" xfId="0" applyNumberFormat="1" applyFont="1" applyFill="1" applyProtection="1">
      <alignment vertical="center"/>
    </xf>
    <xf numFmtId="180" fontId="0" fillId="9" borderId="0" xfId="0" applyNumberFormat="1" applyFill="1" applyProtection="1">
      <alignment vertical="center"/>
    </xf>
    <xf numFmtId="178" fontId="0" fillId="9" borderId="0" xfId="0" applyNumberFormat="1" applyFill="1" applyProtection="1">
      <alignment vertical="center"/>
    </xf>
    <xf numFmtId="182" fontId="0" fillId="0" borderId="0" xfId="0" applyNumberFormat="1" applyFill="1" applyProtection="1">
      <alignment vertical="center"/>
    </xf>
    <xf numFmtId="0" fontId="0" fillId="0" borderId="0" xfId="0" applyNumberFormat="1" applyFill="1" applyAlignment="1" applyProtection="1">
      <alignment horizontal="right" vertical="center"/>
    </xf>
    <xf numFmtId="0" fontId="14" fillId="0" borderId="0" xfId="0" applyNumberFormat="1" applyFont="1" applyAlignment="1" applyProtection="1">
      <alignment horizontal="right" vertical="center"/>
    </xf>
    <xf numFmtId="0" fontId="14" fillId="0" borderId="0" xfId="0" applyNumberFormat="1" applyFont="1" applyProtection="1">
      <alignment vertical="center"/>
    </xf>
    <xf numFmtId="178" fontId="21" fillId="9" borderId="0" xfId="0" applyNumberFormat="1" applyFont="1" applyFill="1" applyProtection="1">
      <alignment vertical="center"/>
    </xf>
    <xf numFmtId="0" fontId="15" fillId="0" borderId="0" xfId="0" applyNumberFormat="1" applyFont="1" applyAlignment="1" applyProtection="1">
      <alignment horizontal="right" vertical="center"/>
    </xf>
    <xf numFmtId="0" fontId="16" fillId="0" borderId="0" xfId="0" applyNumberFormat="1" applyFont="1" applyProtection="1">
      <alignment vertical="center"/>
    </xf>
    <xf numFmtId="0" fontId="3" fillId="0" borderId="0" xfId="0" applyNumberFormat="1" applyFont="1" applyAlignment="1" applyProtection="1">
      <alignment horizontal="right" vertical="center"/>
    </xf>
    <xf numFmtId="0" fontId="17" fillId="0" borderId="0" xfId="0" applyNumberFormat="1" applyFont="1" applyProtection="1">
      <alignment vertical="center"/>
    </xf>
    <xf numFmtId="0" fontId="19" fillId="0" borderId="0" xfId="0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0" fillId="0" borderId="0" xfId="0" applyFill="1" applyProtection="1">
      <alignment vertical="center"/>
    </xf>
    <xf numFmtId="0" fontId="4" fillId="18" borderId="0" xfId="0" applyFont="1" applyFill="1" applyAlignment="1" applyProtection="1">
      <alignment horizontal="center" vertical="center"/>
    </xf>
    <xf numFmtId="0" fontId="14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176" fontId="0" fillId="6" borderId="0" xfId="0" applyNumberFormat="1" applyFill="1" applyProtection="1">
      <alignment vertical="center"/>
    </xf>
    <xf numFmtId="0" fontId="0" fillId="7" borderId="1" xfId="0" applyNumberFormat="1" applyFill="1" applyBorder="1" applyProtection="1">
      <alignment vertical="center"/>
      <protection locked="0"/>
    </xf>
    <xf numFmtId="0" fontId="0" fillId="0" borderId="1" xfId="0" applyNumberFormat="1" applyBorder="1" applyAlignment="1" applyProtection="1">
      <alignment horizontal="center" vertical="center"/>
    </xf>
    <xf numFmtId="0" fontId="0" fillId="0" borderId="1" xfId="0" applyNumberFormat="1" applyBorder="1" applyProtection="1">
      <alignment vertical="center"/>
    </xf>
    <xf numFmtId="0" fontId="6" fillId="0" borderId="0" xfId="0" applyNumberFormat="1" applyFont="1" applyProtection="1">
      <alignment vertical="center"/>
    </xf>
    <xf numFmtId="182" fontId="0" fillId="0" borderId="0" xfId="0" applyNumberFormat="1" applyAlignment="1" applyProtection="1">
      <alignment horizontal="center" vertical="center"/>
    </xf>
    <xf numFmtId="183" fontId="0" fillId="19" borderId="0" xfId="0" applyNumberFormat="1" applyFill="1" applyProtection="1">
      <alignment vertical="center"/>
    </xf>
    <xf numFmtId="181" fontId="0" fillId="9" borderId="0" xfId="0" applyNumberFormat="1" applyFill="1" applyProtection="1">
      <alignment vertical="center"/>
    </xf>
    <xf numFmtId="181" fontId="0" fillId="6" borderId="0" xfId="0" applyNumberFormat="1" applyFill="1" applyProtection="1">
      <alignment vertical="center"/>
    </xf>
    <xf numFmtId="183" fontId="0" fillId="4" borderId="0" xfId="0" applyNumberFormat="1" applyFill="1" applyProtection="1">
      <alignment vertical="center"/>
    </xf>
    <xf numFmtId="181" fontId="0" fillId="9" borderId="0" xfId="0" applyNumberFormat="1" applyFill="1" applyAlignment="1" applyProtection="1">
      <alignment horizontal="center" vertical="center"/>
    </xf>
    <xf numFmtId="183" fontId="0" fillId="19" borderId="0" xfId="0" applyNumberFormat="1" applyFill="1" applyAlignment="1" applyProtection="1">
      <alignment horizontal="center" vertical="center"/>
    </xf>
    <xf numFmtId="181" fontId="0" fillId="4" borderId="0" xfId="0" applyNumberFormat="1" applyFill="1" applyProtection="1">
      <alignment vertical="center"/>
    </xf>
    <xf numFmtId="0" fontId="4" fillId="0" borderId="1" xfId="0" applyNumberFormat="1" applyFont="1" applyBorder="1" applyAlignment="1" applyProtection="1">
      <alignment horizontal="center" vertical="center"/>
    </xf>
    <xf numFmtId="0" fontId="5" fillId="0" borderId="0" xfId="0" applyNumberFormat="1" applyFont="1" applyProtection="1">
      <alignment vertical="center"/>
    </xf>
    <xf numFmtId="0" fontId="4" fillId="0" borderId="0" xfId="0" applyNumberFormat="1" applyFont="1" applyAlignment="1" applyProtection="1">
      <alignment horizontal="center" vertical="center"/>
    </xf>
    <xf numFmtId="182" fontId="4" fillId="0" borderId="0" xfId="0" applyNumberFormat="1" applyFont="1" applyAlignment="1" applyProtection="1">
      <alignment horizontal="center" vertical="center"/>
    </xf>
    <xf numFmtId="181" fontId="0" fillId="20" borderId="0" xfId="0" applyNumberFormat="1" applyFill="1" applyProtection="1">
      <alignment vertical="center"/>
    </xf>
    <xf numFmtId="0" fontId="23" fillId="7" borderId="1" xfId="0" applyNumberFormat="1" applyFont="1" applyFill="1" applyBorder="1" applyProtection="1">
      <alignment vertical="center"/>
      <protection locked="0"/>
    </xf>
    <xf numFmtId="0" fontId="23" fillId="0" borderId="1" xfId="0" applyNumberFormat="1" applyFont="1" applyBorder="1" applyAlignment="1" applyProtection="1">
      <alignment horizontal="center" vertical="center"/>
    </xf>
    <xf numFmtId="0" fontId="23" fillId="0" borderId="1" xfId="0" applyNumberFormat="1" applyFont="1" applyBorder="1" applyProtection="1">
      <alignment vertical="center"/>
    </xf>
    <xf numFmtId="181" fontId="0" fillId="12" borderId="0" xfId="0" applyNumberFormat="1" applyFill="1" applyProtection="1">
      <alignment vertical="center"/>
    </xf>
    <xf numFmtId="181" fontId="0" fillId="0" borderId="0" xfId="0" applyNumberFormat="1" applyAlignment="1" applyProtection="1">
      <alignment horizontal="right" vertical="center"/>
    </xf>
    <xf numFmtId="181" fontId="0" fillId="6" borderId="0" xfId="0" applyNumberFormat="1" applyFill="1" applyAlignment="1" applyProtection="1">
      <alignment horizontal="right" vertical="center"/>
    </xf>
    <xf numFmtId="0" fontId="4" fillId="0" borderId="1" xfId="0" applyNumberFormat="1" applyFont="1" applyBorder="1" applyProtection="1">
      <alignment vertical="center"/>
    </xf>
    <xf numFmtId="0" fontId="4" fillId="0" borderId="1" xfId="0" applyNumberFormat="1" applyFont="1" applyBorder="1" applyAlignment="1" applyProtection="1">
      <alignment horizontal="right" vertical="center"/>
    </xf>
    <xf numFmtId="0" fontId="4" fillId="0" borderId="1" xfId="0" applyNumberFormat="1" applyFont="1" applyBorder="1" applyAlignment="1" applyProtection="1">
      <alignment horizontal="left" vertical="center"/>
    </xf>
    <xf numFmtId="0" fontId="23" fillId="0" borderId="1" xfId="0" applyNumberFormat="1" applyFont="1" applyBorder="1" applyAlignment="1" applyProtection="1">
      <alignment horizontal="right" vertical="center"/>
    </xf>
    <xf numFmtId="181" fontId="4" fillId="20" borderId="1" xfId="0" applyNumberFormat="1" applyFont="1" applyFill="1" applyBorder="1" applyAlignment="1" applyProtection="1">
      <alignment horizontal="right" vertical="center"/>
    </xf>
    <xf numFmtId="181" fontId="4" fillId="20" borderId="1" xfId="0" applyNumberFormat="1" applyFont="1" applyFill="1" applyBorder="1" applyProtection="1">
      <alignment vertical="center"/>
    </xf>
    <xf numFmtId="181" fontId="23" fillId="20" borderId="1" xfId="0" applyNumberFormat="1" applyFont="1" applyFill="1" applyBorder="1" applyProtection="1">
      <alignment vertical="center"/>
    </xf>
    <xf numFmtId="0" fontId="4" fillId="21" borderId="1" xfId="0" applyNumberFormat="1" applyFont="1" applyFill="1" applyBorder="1" applyProtection="1">
      <alignment vertical="center"/>
      <protection locked="0"/>
    </xf>
    <xf numFmtId="0" fontId="23" fillId="21" borderId="1" xfId="0" applyNumberFormat="1" applyFont="1" applyFill="1" applyBorder="1" applyProtection="1">
      <alignment vertical="center"/>
      <protection locked="0"/>
    </xf>
    <xf numFmtId="0" fontId="7" fillId="7" borderId="1" xfId="0" applyFont="1" applyFill="1" applyBorder="1" applyProtection="1">
      <alignment vertical="center"/>
      <protection locked="0"/>
    </xf>
    <xf numFmtId="182" fontId="4" fillId="0" borderId="0" xfId="0" applyNumberFormat="1" applyFont="1" applyBorder="1" applyAlignment="1" applyProtection="1">
      <alignment horizontal="center" vertical="center"/>
    </xf>
    <xf numFmtId="182" fontId="23" fillId="15" borderId="0" xfId="0" applyNumberFormat="1" applyFont="1" applyFill="1" applyBorder="1" applyProtection="1">
      <alignment vertical="center"/>
    </xf>
    <xf numFmtId="182" fontId="4" fillId="0" borderId="0" xfId="0" applyNumberFormat="1" applyFont="1" applyBorder="1" applyProtection="1">
      <alignment vertical="center"/>
    </xf>
    <xf numFmtId="0" fontId="22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183" fontId="0" fillId="6" borderId="0" xfId="0" applyNumberFormat="1" applyFill="1" applyProtection="1">
      <alignment vertical="center"/>
    </xf>
    <xf numFmtId="0" fontId="4" fillId="0" borderId="0" xfId="0" applyFont="1" applyAlignment="1" applyProtection="1">
      <alignment horizontal="center" vertical="center"/>
    </xf>
    <xf numFmtId="183" fontId="0" fillId="12" borderId="0" xfId="0" applyNumberFormat="1" applyFill="1" applyProtection="1">
      <alignment vertical="center"/>
    </xf>
    <xf numFmtId="183" fontId="0" fillId="13" borderId="0" xfId="0" applyNumberFormat="1" applyFill="1" applyProtection="1">
      <alignment vertical="center"/>
    </xf>
    <xf numFmtId="0" fontId="10" fillId="0" borderId="0" xfId="0" applyFont="1" applyAlignment="1" applyProtection="1">
      <alignment vertical="center"/>
    </xf>
    <xf numFmtId="0" fontId="8" fillId="0" borderId="0" xfId="0" applyFont="1" applyProtection="1">
      <alignment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Protection="1">
      <alignment vertical="center"/>
    </xf>
    <xf numFmtId="183" fontId="0" fillId="11" borderId="0" xfId="0" applyNumberFormat="1" applyFill="1" applyProtection="1">
      <alignment vertical="center"/>
    </xf>
    <xf numFmtId="183" fontId="0" fillId="0" borderId="0" xfId="0" applyNumberFormat="1" applyAlignment="1" applyProtection="1">
      <alignment horizontal="right" vertical="center"/>
    </xf>
    <xf numFmtId="183" fontId="0" fillId="10" borderId="0" xfId="0" applyNumberFormat="1" applyFill="1" applyProtection="1">
      <alignment vertical="center"/>
    </xf>
    <xf numFmtId="183" fontId="0" fillId="8" borderId="0" xfId="0" applyNumberFormat="1" applyFill="1" applyProtection="1">
      <alignment vertical="center"/>
    </xf>
    <xf numFmtId="180" fontId="2" fillId="0" borderId="0" xfId="0" applyNumberFormat="1" applyFont="1" applyProtection="1">
      <alignment vertical="center"/>
    </xf>
    <xf numFmtId="183" fontId="0" fillId="9" borderId="0" xfId="0" applyNumberFormat="1" applyFill="1" applyProtection="1">
      <alignment vertical="center"/>
    </xf>
    <xf numFmtId="183" fontId="0" fillId="0" borderId="0" xfId="0" applyNumberFormat="1" applyProtection="1">
      <alignment vertical="center"/>
    </xf>
    <xf numFmtId="180" fontId="0" fillId="0" borderId="0" xfId="0" applyNumberFormat="1" applyFill="1" applyProtection="1">
      <alignment vertical="center"/>
    </xf>
    <xf numFmtId="0" fontId="0" fillId="0" borderId="0" xfId="0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g"/><Relationship Id="rId1" Type="http://schemas.openxmlformats.org/officeDocument/2006/relationships/image" Target="../media/image5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G"/><Relationship Id="rId2" Type="http://schemas.openxmlformats.org/officeDocument/2006/relationships/image" Target="../media/image8.JPG"/><Relationship Id="rId1" Type="http://schemas.openxmlformats.org/officeDocument/2006/relationships/image" Target="../media/image7.JPG"/><Relationship Id="rId6" Type="http://schemas.openxmlformats.org/officeDocument/2006/relationships/image" Target="../media/image12.jpg"/><Relationship Id="rId5" Type="http://schemas.openxmlformats.org/officeDocument/2006/relationships/image" Target="../media/image11.jpg"/><Relationship Id="rId4" Type="http://schemas.openxmlformats.org/officeDocument/2006/relationships/image" Target="../media/image10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G"/><Relationship Id="rId2" Type="http://schemas.openxmlformats.org/officeDocument/2006/relationships/image" Target="../media/image9.JPG"/><Relationship Id="rId1" Type="http://schemas.openxmlformats.org/officeDocument/2006/relationships/image" Target="../media/image7.JPG"/><Relationship Id="rId5" Type="http://schemas.openxmlformats.org/officeDocument/2006/relationships/image" Target="../media/image12.jpg"/><Relationship Id="rId4" Type="http://schemas.openxmlformats.org/officeDocument/2006/relationships/image" Target="../media/image11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G"/><Relationship Id="rId2" Type="http://schemas.openxmlformats.org/officeDocument/2006/relationships/image" Target="../media/image9.JPG"/><Relationship Id="rId1" Type="http://schemas.openxmlformats.org/officeDocument/2006/relationships/image" Target="../media/image7.JPG"/><Relationship Id="rId5" Type="http://schemas.openxmlformats.org/officeDocument/2006/relationships/image" Target="../media/image12.jpg"/><Relationship Id="rId4" Type="http://schemas.openxmlformats.org/officeDocument/2006/relationships/image" Target="../media/image11.jp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G"/><Relationship Id="rId2" Type="http://schemas.openxmlformats.org/officeDocument/2006/relationships/image" Target="../media/image9.JPG"/><Relationship Id="rId1" Type="http://schemas.openxmlformats.org/officeDocument/2006/relationships/image" Target="../media/image7.JPG"/><Relationship Id="rId5" Type="http://schemas.openxmlformats.org/officeDocument/2006/relationships/image" Target="../media/image12.jpg"/><Relationship Id="rId4" Type="http://schemas.openxmlformats.org/officeDocument/2006/relationships/image" Target="../media/image11.jp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jpg"/><Relationship Id="rId3" Type="http://schemas.openxmlformats.org/officeDocument/2006/relationships/image" Target="../media/image15.jpeg"/><Relationship Id="rId7" Type="http://schemas.openxmlformats.org/officeDocument/2006/relationships/image" Target="../media/image19.jpg"/><Relationship Id="rId2" Type="http://schemas.openxmlformats.org/officeDocument/2006/relationships/image" Target="../media/image14.jpeg"/><Relationship Id="rId1" Type="http://schemas.openxmlformats.org/officeDocument/2006/relationships/image" Target="../media/image13.jpeg"/><Relationship Id="rId6" Type="http://schemas.openxmlformats.org/officeDocument/2006/relationships/image" Target="../media/image18.JPG"/><Relationship Id="rId5" Type="http://schemas.openxmlformats.org/officeDocument/2006/relationships/image" Target="../media/image17.JPG"/><Relationship Id="rId10" Type="http://schemas.openxmlformats.org/officeDocument/2006/relationships/image" Target="../media/image12.jpg"/><Relationship Id="rId4" Type="http://schemas.openxmlformats.org/officeDocument/2006/relationships/image" Target="../media/image16.jpeg"/><Relationship Id="rId9" Type="http://schemas.openxmlformats.org/officeDocument/2006/relationships/image" Target="../media/image21.jp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4.jpg"/><Relationship Id="rId2" Type="http://schemas.openxmlformats.org/officeDocument/2006/relationships/image" Target="../media/image23.jpg"/><Relationship Id="rId1" Type="http://schemas.openxmlformats.org/officeDocument/2006/relationships/image" Target="../media/image22.jpg"/><Relationship Id="rId4" Type="http://schemas.openxmlformats.org/officeDocument/2006/relationships/image" Target="../media/image2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581025</xdr:colOff>
      <xdr:row>0</xdr:row>
      <xdr:rowOff>38100</xdr:rowOff>
    </xdr:from>
    <xdr:to>
      <xdr:col>21</xdr:col>
      <xdr:colOff>247650</xdr:colOff>
      <xdr:row>4</xdr:row>
      <xdr:rowOff>9525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38100"/>
          <a:ext cx="1724025" cy="723900"/>
        </a:xfrm>
        <a:prstGeom prst="rect">
          <a:avLst/>
        </a:prstGeom>
      </xdr:spPr>
    </xdr:pic>
    <xdr:clientData/>
  </xdr:twoCellAnchor>
  <xdr:twoCellAnchor editAs="oneCell">
    <xdr:from>
      <xdr:col>18</xdr:col>
      <xdr:colOff>638175</xdr:colOff>
      <xdr:row>5</xdr:row>
      <xdr:rowOff>76200</xdr:rowOff>
    </xdr:from>
    <xdr:to>
      <xdr:col>21</xdr:col>
      <xdr:colOff>76200</xdr:colOff>
      <xdr:row>9</xdr:row>
      <xdr:rowOff>95250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825" y="933450"/>
          <a:ext cx="1495425" cy="704850"/>
        </a:xfrm>
        <a:prstGeom prst="rect">
          <a:avLst/>
        </a:prstGeom>
      </xdr:spPr>
    </xdr:pic>
    <xdr:clientData/>
  </xdr:twoCellAnchor>
  <xdr:twoCellAnchor editAs="oneCell">
    <xdr:from>
      <xdr:col>14</xdr:col>
      <xdr:colOff>57150</xdr:colOff>
      <xdr:row>17</xdr:row>
      <xdr:rowOff>104775</xdr:rowOff>
    </xdr:from>
    <xdr:to>
      <xdr:col>16</xdr:col>
      <xdr:colOff>390525</xdr:colOff>
      <xdr:row>21</xdr:row>
      <xdr:rowOff>152400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63225" y="3019425"/>
          <a:ext cx="1704975" cy="733425"/>
        </a:xfrm>
        <a:prstGeom prst="rect">
          <a:avLst/>
        </a:prstGeom>
      </xdr:spPr>
    </xdr:pic>
    <xdr:clientData/>
  </xdr:twoCellAnchor>
  <xdr:twoCellAnchor editAs="oneCell">
    <xdr:from>
      <xdr:col>14</xdr:col>
      <xdr:colOff>47625</xdr:colOff>
      <xdr:row>28</xdr:row>
      <xdr:rowOff>57150</xdr:rowOff>
    </xdr:from>
    <xdr:to>
      <xdr:col>16</xdr:col>
      <xdr:colOff>381000</xdr:colOff>
      <xdr:row>32</xdr:row>
      <xdr:rowOff>104775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0" y="4857750"/>
          <a:ext cx="1704975" cy="733425"/>
        </a:xfrm>
        <a:prstGeom prst="rect">
          <a:avLst/>
        </a:prstGeom>
      </xdr:spPr>
    </xdr:pic>
    <xdr:clientData/>
  </xdr:twoCellAnchor>
  <xdr:twoCellAnchor editAs="oneCell">
    <xdr:from>
      <xdr:col>14</xdr:col>
      <xdr:colOff>66675</xdr:colOff>
      <xdr:row>39</xdr:row>
      <xdr:rowOff>66675</xdr:rowOff>
    </xdr:from>
    <xdr:to>
      <xdr:col>16</xdr:col>
      <xdr:colOff>400050</xdr:colOff>
      <xdr:row>43</xdr:row>
      <xdr:rowOff>114300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0" y="6753225"/>
          <a:ext cx="1704975" cy="733425"/>
        </a:xfrm>
        <a:prstGeom prst="rect">
          <a:avLst/>
        </a:prstGeom>
      </xdr:spPr>
    </xdr:pic>
    <xdr:clientData/>
  </xdr:twoCellAnchor>
  <xdr:twoCellAnchor editAs="oneCell">
    <xdr:from>
      <xdr:col>14</xdr:col>
      <xdr:colOff>28575</xdr:colOff>
      <xdr:row>12</xdr:row>
      <xdr:rowOff>57150</xdr:rowOff>
    </xdr:from>
    <xdr:to>
      <xdr:col>16</xdr:col>
      <xdr:colOff>581025</xdr:colOff>
      <xdr:row>16</xdr:row>
      <xdr:rowOff>133350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650" y="2114550"/>
          <a:ext cx="1924050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38100</xdr:colOff>
      <xdr:row>23</xdr:row>
      <xdr:rowOff>85725</xdr:rowOff>
    </xdr:from>
    <xdr:to>
      <xdr:col>16</xdr:col>
      <xdr:colOff>590550</xdr:colOff>
      <xdr:row>27</xdr:row>
      <xdr:rowOff>161925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44175" y="4029075"/>
          <a:ext cx="1924050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57150</xdr:colOff>
      <xdr:row>34</xdr:row>
      <xdr:rowOff>19050</xdr:rowOff>
    </xdr:from>
    <xdr:to>
      <xdr:col>16</xdr:col>
      <xdr:colOff>609600</xdr:colOff>
      <xdr:row>38</xdr:row>
      <xdr:rowOff>95250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63225" y="5848350"/>
          <a:ext cx="1924050" cy="76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238125</xdr:colOff>
      <xdr:row>0</xdr:row>
      <xdr:rowOff>0</xdr:rowOff>
    </xdr:from>
    <xdr:to>
      <xdr:col>18</xdr:col>
      <xdr:colOff>104775</xdr:colOff>
      <xdr:row>4</xdr:row>
      <xdr:rowOff>9525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0" y="0"/>
          <a:ext cx="1924050" cy="762000"/>
        </a:xfrm>
        <a:prstGeom prst="rect">
          <a:avLst/>
        </a:prstGeom>
      </xdr:spPr>
    </xdr:pic>
    <xdr:clientData/>
  </xdr:twoCellAnchor>
  <xdr:twoCellAnchor editAs="oneCell">
    <xdr:from>
      <xdr:col>15</xdr:col>
      <xdr:colOff>247650</xdr:colOff>
      <xdr:row>5</xdr:row>
      <xdr:rowOff>57150</xdr:rowOff>
    </xdr:from>
    <xdr:to>
      <xdr:col>17</xdr:col>
      <xdr:colOff>581025</xdr:colOff>
      <xdr:row>9</xdr:row>
      <xdr:rowOff>104775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9525" y="914400"/>
          <a:ext cx="1704975" cy="733425"/>
        </a:xfrm>
        <a:prstGeom prst="rect">
          <a:avLst/>
        </a:prstGeom>
      </xdr:spPr>
    </xdr:pic>
    <xdr:clientData/>
  </xdr:twoCellAnchor>
  <xdr:twoCellAnchor>
    <xdr:from>
      <xdr:col>1</xdr:col>
      <xdr:colOff>19050</xdr:colOff>
      <xdr:row>2</xdr:row>
      <xdr:rowOff>104775</xdr:rowOff>
    </xdr:from>
    <xdr:to>
      <xdr:col>1</xdr:col>
      <xdr:colOff>200025</xdr:colOff>
      <xdr:row>3</xdr:row>
      <xdr:rowOff>142875</xdr:rowOff>
    </xdr:to>
    <xdr:cxnSp macro="">
      <xdr:nvCxnSpPr>
        <xdr:cNvPr id="3" name="直線矢印コネクタ 2"/>
        <xdr:cNvCxnSpPr/>
      </xdr:nvCxnSpPr>
      <xdr:spPr>
        <a:xfrm>
          <a:off x="1790700" y="514350"/>
          <a:ext cx="180975" cy="20955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28575</xdr:colOff>
      <xdr:row>8</xdr:row>
      <xdr:rowOff>104775</xdr:rowOff>
    </xdr:from>
    <xdr:to>
      <xdr:col>17</xdr:col>
      <xdr:colOff>142875</xdr:colOff>
      <xdr:row>14</xdr:row>
      <xdr:rowOff>133350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1650" y="1476375"/>
          <a:ext cx="2857500" cy="1057275"/>
        </a:xfrm>
        <a:prstGeom prst="rect">
          <a:avLst/>
        </a:prstGeom>
      </xdr:spPr>
    </xdr:pic>
    <xdr:clientData/>
  </xdr:twoCellAnchor>
  <xdr:twoCellAnchor editAs="oneCell">
    <xdr:from>
      <xdr:col>12</xdr:col>
      <xdr:colOff>666750</xdr:colOff>
      <xdr:row>17</xdr:row>
      <xdr:rowOff>152400</xdr:rowOff>
    </xdr:from>
    <xdr:to>
      <xdr:col>16</xdr:col>
      <xdr:colOff>600075</xdr:colOff>
      <xdr:row>24</xdr:row>
      <xdr:rowOff>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44025" y="3067050"/>
          <a:ext cx="2676525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104775</xdr:colOff>
      <xdr:row>10</xdr:row>
      <xdr:rowOff>123825</xdr:rowOff>
    </xdr:from>
    <xdr:to>
      <xdr:col>11</xdr:col>
      <xdr:colOff>485775</xdr:colOff>
      <xdr:row>17</xdr:row>
      <xdr:rowOff>28575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825" y="1914525"/>
          <a:ext cx="1990725" cy="1104900"/>
        </a:xfrm>
        <a:prstGeom prst="rect">
          <a:avLst/>
        </a:prstGeom>
      </xdr:spPr>
    </xdr:pic>
    <xdr:clientData/>
  </xdr:twoCellAnchor>
  <xdr:twoCellAnchor editAs="oneCell">
    <xdr:from>
      <xdr:col>14</xdr:col>
      <xdr:colOff>266700</xdr:colOff>
      <xdr:row>17</xdr:row>
      <xdr:rowOff>142875</xdr:rowOff>
    </xdr:from>
    <xdr:to>
      <xdr:col>17</xdr:col>
      <xdr:colOff>38100</xdr:colOff>
      <xdr:row>24</xdr:row>
      <xdr:rowOff>66675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82100" y="3133725"/>
          <a:ext cx="2019300" cy="1171575"/>
        </a:xfrm>
        <a:prstGeom prst="rect">
          <a:avLst/>
        </a:prstGeom>
      </xdr:spPr>
    </xdr:pic>
    <xdr:clientData/>
  </xdr:twoCellAnchor>
  <xdr:twoCellAnchor editAs="oneCell">
    <xdr:from>
      <xdr:col>8</xdr:col>
      <xdr:colOff>914400</xdr:colOff>
      <xdr:row>31</xdr:row>
      <xdr:rowOff>19050</xdr:rowOff>
    </xdr:from>
    <xdr:to>
      <xdr:col>12</xdr:col>
      <xdr:colOff>628650</xdr:colOff>
      <xdr:row>38</xdr:row>
      <xdr:rowOff>38100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5419725"/>
          <a:ext cx="2990850" cy="1219200"/>
        </a:xfrm>
        <a:prstGeom prst="rect">
          <a:avLst/>
        </a:prstGeom>
      </xdr:spPr>
    </xdr:pic>
    <xdr:clientData/>
  </xdr:twoCellAnchor>
  <xdr:twoCellAnchor editAs="oneCell">
    <xdr:from>
      <xdr:col>8</xdr:col>
      <xdr:colOff>552450</xdr:colOff>
      <xdr:row>44</xdr:row>
      <xdr:rowOff>114300</xdr:rowOff>
    </xdr:from>
    <xdr:to>
      <xdr:col>13</xdr:col>
      <xdr:colOff>685800</xdr:colOff>
      <xdr:row>51</xdr:row>
      <xdr:rowOff>133350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9650" y="7743825"/>
          <a:ext cx="4029075" cy="1219200"/>
        </a:xfrm>
        <a:prstGeom prst="rect">
          <a:avLst/>
        </a:prstGeom>
      </xdr:spPr>
    </xdr:pic>
    <xdr:clientData/>
  </xdr:twoCellAnchor>
  <xdr:twoCellAnchor editAs="oneCell">
    <xdr:from>
      <xdr:col>19</xdr:col>
      <xdr:colOff>152400</xdr:colOff>
      <xdr:row>9</xdr:row>
      <xdr:rowOff>133350</xdr:rowOff>
    </xdr:from>
    <xdr:to>
      <xdr:col>21</xdr:col>
      <xdr:colOff>95250</xdr:colOff>
      <xdr:row>16</xdr:row>
      <xdr:rowOff>9525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49175" y="1752600"/>
          <a:ext cx="2543175" cy="1076325"/>
        </a:xfrm>
        <a:prstGeom prst="rect">
          <a:avLst/>
        </a:prstGeom>
      </xdr:spPr>
    </xdr:pic>
    <xdr:clientData/>
  </xdr:twoCellAnchor>
  <xdr:twoCellAnchor>
    <xdr:from>
      <xdr:col>14</xdr:col>
      <xdr:colOff>285750</xdr:colOff>
      <xdr:row>7</xdr:row>
      <xdr:rowOff>104775</xdr:rowOff>
    </xdr:from>
    <xdr:to>
      <xdr:col>16</xdr:col>
      <xdr:colOff>457200</xdr:colOff>
      <xdr:row>7</xdr:row>
      <xdr:rowOff>150494</xdr:rowOff>
    </xdr:to>
    <xdr:sp macro="" textlink="">
      <xdr:nvSpPr>
        <xdr:cNvPr id="9" name="ストライプ矢印 8"/>
        <xdr:cNvSpPr/>
      </xdr:nvSpPr>
      <xdr:spPr>
        <a:xfrm>
          <a:off x="7867650" y="1381125"/>
          <a:ext cx="1676400" cy="45719"/>
        </a:xfrm>
        <a:prstGeom prst="strip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20</xdr:col>
      <xdr:colOff>47625</xdr:colOff>
      <xdr:row>24</xdr:row>
      <xdr:rowOff>161925</xdr:rowOff>
    </xdr:from>
    <xdr:to>
      <xdr:col>24</xdr:col>
      <xdr:colOff>152400</xdr:colOff>
      <xdr:row>33</xdr:row>
      <xdr:rowOff>114300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15800" y="4400550"/>
          <a:ext cx="4086225" cy="14954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523875</xdr:colOff>
      <xdr:row>11</xdr:row>
      <xdr:rowOff>0</xdr:rowOff>
    </xdr:from>
    <xdr:to>
      <xdr:col>11</xdr:col>
      <xdr:colOff>457200</xdr:colOff>
      <xdr:row>17</xdr:row>
      <xdr:rowOff>76200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48225" y="1943100"/>
          <a:ext cx="1990725" cy="1104900"/>
        </a:xfrm>
        <a:prstGeom prst="rect">
          <a:avLst/>
        </a:prstGeom>
      </xdr:spPr>
    </xdr:pic>
    <xdr:clientData/>
  </xdr:twoCellAnchor>
  <xdr:twoCellAnchor editAs="oneCell">
    <xdr:from>
      <xdr:col>9</xdr:col>
      <xdr:colOff>304800</xdr:colOff>
      <xdr:row>25</xdr:row>
      <xdr:rowOff>47625</xdr:rowOff>
    </xdr:from>
    <xdr:to>
      <xdr:col>13</xdr:col>
      <xdr:colOff>552450</xdr:colOff>
      <xdr:row>32</xdr:row>
      <xdr:rowOff>66675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0" y="4391025"/>
          <a:ext cx="2990850" cy="1219200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39</xdr:row>
      <xdr:rowOff>66675</xdr:rowOff>
    </xdr:from>
    <xdr:to>
      <xdr:col>13</xdr:col>
      <xdr:colOff>657225</xdr:colOff>
      <xdr:row>46</xdr:row>
      <xdr:rowOff>85725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0050" y="6810375"/>
          <a:ext cx="4029075" cy="1219200"/>
        </a:xfrm>
        <a:prstGeom prst="rect">
          <a:avLst/>
        </a:prstGeom>
      </xdr:spPr>
    </xdr:pic>
    <xdr:clientData/>
  </xdr:twoCellAnchor>
  <xdr:twoCellAnchor editAs="oneCell">
    <xdr:from>
      <xdr:col>16</xdr:col>
      <xdr:colOff>76200</xdr:colOff>
      <xdr:row>10</xdr:row>
      <xdr:rowOff>76200</xdr:rowOff>
    </xdr:from>
    <xdr:to>
      <xdr:col>19</xdr:col>
      <xdr:colOff>561975</xdr:colOff>
      <xdr:row>16</xdr:row>
      <xdr:rowOff>123825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0" y="1847850"/>
          <a:ext cx="2543175" cy="1076325"/>
        </a:xfrm>
        <a:prstGeom prst="rect">
          <a:avLst/>
        </a:prstGeom>
      </xdr:spPr>
    </xdr:pic>
    <xdr:clientData/>
  </xdr:twoCellAnchor>
  <xdr:twoCellAnchor>
    <xdr:from>
      <xdr:col>14</xdr:col>
      <xdr:colOff>161925</xdr:colOff>
      <xdr:row>7</xdr:row>
      <xdr:rowOff>114300</xdr:rowOff>
    </xdr:from>
    <xdr:to>
      <xdr:col>15</xdr:col>
      <xdr:colOff>438150</xdr:colOff>
      <xdr:row>7</xdr:row>
      <xdr:rowOff>161925</xdr:rowOff>
    </xdr:to>
    <xdr:sp macro="" textlink="">
      <xdr:nvSpPr>
        <xdr:cNvPr id="6" name="V 字形矢印 5"/>
        <xdr:cNvSpPr/>
      </xdr:nvSpPr>
      <xdr:spPr>
        <a:xfrm>
          <a:off x="7515225" y="1371600"/>
          <a:ext cx="962025" cy="47625"/>
        </a:xfrm>
        <a:prstGeom prst="notch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21</xdr:col>
      <xdr:colOff>0</xdr:colOff>
      <xdr:row>23</xdr:row>
      <xdr:rowOff>0</xdr:rowOff>
    </xdr:from>
    <xdr:to>
      <xdr:col>25</xdr:col>
      <xdr:colOff>238125</xdr:colOff>
      <xdr:row>31</xdr:row>
      <xdr:rowOff>123825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53900" y="4048125"/>
          <a:ext cx="4086225" cy="14954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11</xdr:row>
      <xdr:rowOff>38100</xdr:rowOff>
    </xdr:from>
    <xdr:to>
      <xdr:col>11</xdr:col>
      <xdr:colOff>28575</xdr:colOff>
      <xdr:row>17</xdr:row>
      <xdr:rowOff>66675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0" y="2019300"/>
          <a:ext cx="1990725" cy="1104900"/>
        </a:xfrm>
        <a:prstGeom prst="rect">
          <a:avLst/>
        </a:prstGeom>
      </xdr:spPr>
    </xdr:pic>
    <xdr:clientData/>
  </xdr:twoCellAnchor>
  <xdr:twoCellAnchor editAs="oneCell">
    <xdr:from>
      <xdr:col>18</xdr:col>
      <xdr:colOff>257175</xdr:colOff>
      <xdr:row>20</xdr:row>
      <xdr:rowOff>0</xdr:rowOff>
    </xdr:from>
    <xdr:to>
      <xdr:col>22</xdr:col>
      <xdr:colOff>504825</xdr:colOff>
      <xdr:row>27</xdr:row>
      <xdr:rowOff>19050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63425" y="3524250"/>
          <a:ext cx="2990850" cy="1219200"/>
        </a:xfrm>
        <a:prstGeom prst="rect">
          <a:avLst/>
        </a:prstGeom>
      </xdr:spPr>
    </xdr:pic>
    <xdr:clientData/>
  </xdr:twoCellAnchor>
  <xdr:twoCellAnchor editAs="oneCell">
    <xdr:from>
      <xdr:col>8</xdr:col>
      <xdr:colOff>428625</xdr:colOff>
      <xdr:row>34</xdr:row>
      <xdr:rowOff>57150</xdr:rowOff>
    </xdr:from>
    <xdr:to>
      <xdr:col>14</xdr:col>
      <xdr:colOff>342900</xdr:colOff>
      <xdr:row>41</xdr:row>
      <xdr:rowOff>76200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5" y="5981700"/>
          <a:ext cx="4029075" cy="1219200"/>
        </a:xfrm>
        <a:prstGeom prst="rect">
          <a:avLst/>
        </a:prstGeom>
      </xdr:spPr>
    </xdr:pic>
    <xdr:clientData/>
  </xdr:twoCellAnchor>
  <xdr:twoCellAnchor editAs="oneCell">
    <xdr:from>
      <xdr:col>17</xdr:col>
      <xdr:colOff>333375</xdr:colOff>
      <xdr:row>10</xdr:row>
      <xdr:rowOff>57150</xdr:rowOff>
    </xdr:from>
    <xdr:to>
      <xdr:col>21</xdr:col>
      <xdr:colOff>133350</xdr:colOff>
      <xdr:row>16</xdr:row>
      <xdr:rowOff>57150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53825" y="1866900"/>
          <a:ext cx="2543175" cy="1076325"/>
        </a:xfrm>
        <a:prstGeom prst="rect">
          <a:avLst/>
        </a:prstGeom>
      </xdr:spPr>
    </xdr:pic>
    <xdr:clientData/>
  </xdr:twoCellAnchor>
  <xdr:twoCellAnchor>
    <xdr:from>
      <xdr:col>14</xdr:col>
      <xdr:colOff>419100</xdr:colOff>
      <xdr:row>7</xdr:row>
      <xdr:rowOff>123825</xdr:rowOff>
    </xdr:from>
    <xdr:to>
      <xdr:col>16</xdr:col>
      <xdr:colOff>180975</xdr:colOff>
      <xdr:row>7</xdr:row>
      <xdr:rowOff>169544</xdr:rowOff>
    </xdr:to>
    <xdr:sp macro="" textlink="">
      <xdr:nvSpPr>
        <xdr:cNvPr id="6" name="右矢印 5"/>
        <xdr:cNvSpPr/>
      </xdr:nvSpPr>
      <xdr:spPr>
        <a:xfrm>
          <a:off x="7772400" y="1419225"/>
          <a:ext cx="1133475" cy="45719"/>
        </a:xfrm>
        <a:prstGeom prst="right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23</xdr:col>
      <xdr:colOff>361950</xdr:colOff>
      <xdr:row>18</xdr:row>
      <xdr:rowOff>38100</xdr:rowOff>
    </xdr:from>
    <xdr:to>
      <xdr:col>27</xdr:col>
      <xdr:colOff>600075</xdr:colOff>
      <xdr:row>26</xdr:row>
      <xdr:rowOff>161925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87450" y="3267075"/>
          <a:ext cx="4086225" cy="1495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409575</xdr:colOff>
      <xdr:row>10</xdr:row>
      <xdr:rowOff>85725</xdr:rowOff>
    </xdr:from>
    <xdr:to>
      <xdr:col>13</xdr:col>
      <xdr:colOff>342900</xdr:colOff>
      <xdr:row>16</xdr:row>
      <xdr:rowOff>161925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5050" y="1857375"/>
          <a:ext cx="1990725" cy="1104900"/>
        </a:xfrm>
        <a:prstGeom prst="rect">
          <a:avLst/>
        </a:prstGeom>
      </xdr:spPr>
    </xdr:pic>
    <xdr:clientData/>
  </xdr:twoCellAnchor>
  <xdr:twoCellAnchor editAs="oneCell">
    <xdr:from>
      <xdr:col>10</xdr:col>
      <xdr:colOff>95250</xdr:colOff>
      <xdr:row>23</xdr:row>
      <xdr:rowOff>161925</xdr:rowOff>
    </xdr:from>
    <xdr:to>
      <xdr:col>14</xdr:col>
      <xdr:colOff>342900</xdr:colOff>
      <xdr:row>31</xdr:row>
      <xdr:rowOff>9525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4162425"/>
          <a:ext cx="2990850" cy="1219200"/>
        </a:xfrm>
        <a:prstGeom prst="rect">
          <a:avLst/>
        </a:prstGeom>
      </xdr:spPr>
    </xdr:pic>
    <xdr:clientData/>
  </xdr:twoCellAnchor>
  <xdr:twoCellAnchor editAs="oneCell">
    <xdr:from>
      <xdr:col>9</xdr:col>
      <xdr:colOff>47625</xdr:colOff>
      <xdr:row>38</xdr:row>
      <xdr:rowOff>161925</xdr:rowOff>
    </xdr:from>
    <xdr:to>
      <xdr:col>14</xdr:col>
      <xdr:colOff>647700</xdr:colOff>
      <xdr:row>46</xdr:row>
      <xdr:rowOff>9525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6734175"/>
          <a:ext cx="4029075" cy="1219200"/>
        </a:xfrm>
        <a:prstGeom prst="rect">
          <a:avLst/>
        </a:prstGeom>
      </xdr:spPr>
    </xdr:pic>
    <xdr:clientData/>
  </xdr:twoCellAnchor>
  <xdr:twoCellAnchor editAs="oneCell">
    <xdr:from>
      <xdr:col>17</xdr:col>
      <xdr:colOff>504825</xdr:colOff>
      <xdr:row>10</xdr:row>
      <xdr:rowOff>76200</xdr:rowOff>
    </xdr:from>
    <xdr:to>
      <xdr:col>21</xdr:col>
      <xdr:colOff>304800</xdr:colOff>
      <xdr:row>16</xdr:row>
      <xdr:rowOff>123825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0900" y="1847850"/>
          <a:ext cx="2543175" cy="1076325"/>
        </a:xfrm>
        <a:prstGeom prst="rect">
          <a:avLst/>
        </a:prstGeom>
      </xdr:spPr>
    </xdr:pic>
    <xdr:clientData/>
  </xdr:twoCellAnchor>
  <xdr:twoCellAnchor>
    <xdr:from>
      <xdr:col>15</xdr:col>
      <xdr:colOff>219075</xdr:colOff>
      <xdr:row>7</xdr:row>
      <xdr:rowOff>104775</xdr:rowOff>
    </xdr:from>
    <xdr:to>
      <xdr:col>16</xdr:col>
      <xdr:colOff>438150</xdr:colOff>
      <xdr:row>7</xdr:row>
      <xdr:rowOff>150494</xdr:rowOff>
    </xdr:to>
    <xdr:sp macro="" textlink="">
      <xdr:nvSpPr>
        <xdr:cNvPr id="6" name="ストライプ矢印 5"/>
        <xdr:cNvSpPr/>
      </xdr:nvSpPr>
      <xdr:spPr>
        <a:xfrm>
          <a:off x="7115175" y="1362075"/>
          <a:ext cx="904875" cy="45719"/>
        </a:xfrm>
        <a:prstGeom prst="stripedRight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22</xdr:col>
      <xdr:colOff>847725</xdr:colOff>
      <xdr:row>25</xdr:row>
      <xdr:rowOff>28575</xdr:rowOff>
    </xdr:from>
    <xdr:to>
      <xdr:col>27</xdr:col>
      <xdr:colOff>628650</xdr:colOff>
      <xdr:row>33</xdr:row>
      <xdr:rowOff>152400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44425" y="4419600"/>
          <a:ext cx="4086225" cy="14954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365760</xdr:colOff>
      <xdr:row>16</xdr:row>
      <xdr:rowOff>7620</xdr:rowOff>
    </xdr:from>
    <xdr:to>
      <xdr:col>17</xdr:col>
      <xdr:colOff>496728</xdr:colOff>
      <xdr:row>24</xdr:row>
      <xdr:rowOff>14420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38160" y="3208020"/>
          <a:ext cx="2333624" cy="1378400"/>
        </a:xfrm>
        <a:prstGeom prst="rect">
          <a:avLst/>
        </a:prstGeom>
      </xdr:spPr>
    </xdr:pic>
    <xdr:clientData/>
  </xdr:twoCellAnchor>
  <xdr:twoCellAnchor editAs="oneCell">
    <xdr:from>
      <xdr:col>14</xdr:col>
      <xdr:colOff>441961</xdr:colOff>
      <xdr:row>4</xdr:row>
      <xdr:rowOff>127847</xdr:rowOff>
    </xdr:from>
    <xdr:to>
      <xdr:col>17</xdr:col>
      <xdr:colOff>27148</xdr:colOff>
      <xdr:row>13</xdr:row>
      <xdr:rowOff>45350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4361" y="1270847"/>
          <a:ext cx="1792605" cy="1484365"/>
        </a:xfrm>
        <a:prstGeom prst="rect">
          <a:avLst/>
        </a:prstGeom>
      </xdr:spPr>
    </xdr:pic>
    <xdr:clientData/>
  </xdr:twoCellAnchor>
  <xdr:twoCellAnchor editAs="oneCell">
    <xdr:from>
      <xdr:col>15</xdr:col>
      <xdr:colOff>274321</xdr:colOff>
      <xdr:row>26</xdr:row>
      <xdr:rowOff>160020</xdr:rowOff>
    </xdr:from>
    <xdr:to>
      <xdr:col>20</xdr:col>
      <xdr:colOff>22471</xdr:colOff>
      <xdr:row>34</xdr:row>
      <xdr:rowOff>162877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2521" y="5074920"/>
          <a:ext cx="3279544" cy="1472088"/>
        </a:xfrm>
        <a:prstGeom prst="rect">
          <a:avLst/>
        </a:prstGeom>
      </xdr:spPr>
    </xdr:pic>
    <xdr:clientData/>
  </xdr:twoCellAnchor>
  <xdr:twoCellAnchor editAs="oneCell">
    <xdr:from>
      <xdr:col>18</xdr:col>
      <xdr:colOff>514350</xdr:colOff>
      <xdr:row>6</xdr:row>
      <xdr:rowOff>95250</xdr:rowOff>
    </xdr:from>
    <xdr:to>
      <xdr:col>33</xdr:col>
      <xdr:colOff>240507</xdr:colOff>
      <xdr:row>24</xdr:row>
      <xdr:rowOff>88398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0875" y="1590675"/>
          <a:ext cx="11306175" cy="3093535"/>
        </a:xfrm>
        <a:prstGeom prst="rect">
          <a:avLst/>
        </a:prstGeom>
      </xdr:spPr>
    </xdr:pic>
    <xdr:clientData/>
  </xdr:twoCellAnchor>
  <xdr:oneCellAnchor>
    <xdr:from>
      <xdr:col>14</xdr:col>
      <xdr:colOff>365760</xdr:colOff>
      <xdr:row>41</xdr:row>
      <xdr:rowOff>7620</xdr:rowOff>
    </xdr:from>
    <xdr:ext cx="2057399" cy="1390306"/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38160" y="9408795"/>
          <a:ext cx="2057399" cy="1390306"/>
        </a:xfrm>
        <a:prstGeom prst="rect">
          <a:avLst/>
        </a:prstGeom>
      </xdr:spPr>
    </xdr:pic>
    <xdr:clientData/>
  </xdr:oneCellAnchor>
  <xdr:twoCellAnchor editAs="oneCell">
    <xdr:from>
      <xdr:col>22</xdr:col>
      <xdr:colOff>654844</xdr:colOff>
      <xdr:row>52</xdr:row>
      <xdr:rowOff>59530</xdr:rowOff>
    </xdr:from>
    <xdr:to>
      <xdr:col>28</xdr:col>
      <xdr:colOff>545306</xdr:colOff>
      <xdr:row>71</xdr:row>
      <xdr:rowOff>138111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3688" y="9179718"/>
          <a:ext cx="5129212" cy="3281362"/>
        </a:xfrm>
        <a:prstGeom prst="rect">
          <a:avLst/>
        </a:prstGeom>
      </xdr:spPr>
    </xdr:pic>
    <xdr:clientData/>
  </xdr:twoCellAnchor>
  <xdr:twoCellAnchor editAs="oneCell">
    <xdr:from>
      <xdr:col>29</xdr:col>
      <xdr:colOff>209549</xdr:colOff>
      <xdr:row>52</xdr:row>
      <xdr:rowOff>61912</xdr:rowOff>
    </xdr:from>
    <xdr:to>
      <xdr:col>36</xdr:col>
      <xdr:colOff>414336</xdr:colOff>
      <xdr:row>72</xdr:row>
      <xdr:rowOff>16668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85768" y="9289256"/>
          <a:ext cx="5038725" cy="3324225"/>
        </a:xfrm>
        <a:prstGeom prst="rect">
          <a:avLst/>
        </a:prstGeom>
      </xdr:spPr>
    </xdr:pic>
    <xdr:clientData/>
  </xdr:twoCellAnchor>
  <xdr:twoCellAnchor editAs="oneCell">
    <xdr:from>
      <xdr:col>16</xdr:col>
      <xdr:colOff>464343</xdr:colOff>
      <xdr:row>52</xdr:row>
      <xdr:rowOff>11906</xdr:rowOff>
    </xdr:from>
    <xdr:to>
      <xdr:col>21</xdr:col>
      <xdr:colOff>640556</xdr:colOff>
      <xdr:row>59</xdr:row>
      <xdr:rowOff>100012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49062" y="9274969"/>
          <a:ext cx="3629025" cy="1266825"/>
        </a:xfrm>
        <a:prstGeom prst="rect">
          <a:avLst/>
        </a:prstGeom>
      </xdr:spPr>
    </xdr:pic>
    <xdr:clientData/>
  </xdr:twoCellAnchor>
  <xdr:oneCellAnchor>
    <xdr:from>
      <xdr:col>14</xdr:col>
      <xdr:colOff>365760</xdr:colOff>
      <xdr:row>69</xdr:row>
      <xdr:rowOff>7620</xdr:rowOff>
    </xdr:from>
    <xdr:ext cx="2057399" cy="1390306"/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5573" y="7413308"/>
          <a:ext cx="2057399" cy="1390306"/>
        </a:xfrm>
        <a:prstGeom prst="rect">
          <a:avLst/>
        </a:prstGeom>
      </xdr:spPr>
    </xdr:pic>
    <xdr:clientData/>
  </xdr:oneCellAnchor>
  <xdr:twoCellAnchor editAs="oneCell">
    <xdr:from>
      <xdr:col>16</xdr:col>
      <xdr:colOff>238125</xdr:colOff>
      <xdr:row>81</xdr:row>
      <xdr:rowOff>11906</xdr:rowOff>
    </xdr:from>
    <xdr:to>
      <xdr:col>21</xdr:col>
      <xdr:colOff>414338</xdr:colOff>
      <xdr:row>88</xdr:row>
      <xdr:rowOff>88106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1438" y="14156531"/>
          <a:ext cx="3629025" cy="1266825"/>
        </a:xfrm>
        <a:prstGeom prst="rect">
          <a:avLst/>
        </a:prstGeom>
      </xdr:spPr>
    </xdr:pic>
    <xdr:clientData/>
  </xdr:twoCellAnchor>
  <xdr:oneCellAnchor>
    <xdr:from>
      <xdr:col>14</xdr:col>
      <xdr:colOff>365760</xdr:colOff>
      <xdr:row>97</xdr:row>
      <xdr:rowOff>7620</xdr:rowOff>
    </xdr:from>
    <xdr:ext cx="2057399" cy="1390306"/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95573" y="12128183"/>
          <a:ext cx="2057399" cy="1390306"/>
        </a:xfrm>
        <a:prstGeom prst="rect">
          <a:avLst/>
        </a:prstGeom>
      </xdr:spPr>
    </xdr:pic>
    <xdr:clientData/>
  </xdr:oneCellAnchor>
  <xdr:oneCellAnchor>
    <xdr:from>
      <xdr:col>16</xdr:col>
      <xdr:colOff>238125</xdr:colOff>
      <xdr:row>109</xdr:row>
      <xdr:rowOff>11906</xdr:rowOff>
    </xdr:from>
    <xdr:ext cx="3629025" cy="1266825"/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1438" y="14156531"/>
          <a:ext cx="3629025" cy="1266825"/>
        </a:xfrm>
        <a:prstGeom prst="rect">
          <a:avLst/>
        </a:prstGeom>
      </xdr:spPr>
    </xdr:pic>
    <xdr:clientData/>
  </xdr:oneCellAnchor>
  <xdr:twoCellAnchor editAs="oneCell">
    <xdr:from>
      <xdr:col>23</xdr:col>
      <xdr:colOff>0</xdr:colOff>
      <xdr:row>76</xdr:row>
      <xdr:rowOff>95250</xdr:rowOff>
    </xdr:from>
    <xdr:to>
      <xdr:col>27</xdr:col>
      <xdr:colOff>504825</xdr:colOff>
      <xdr:row>95</xdr:row>
      <xdr:rowOff>123825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54375" y="13418344"/>
          <a:ext cx="4219575" cy="3219450"/>
        </a:xfrm>
        <a:prstGeom prst="rect">
          <a:avLst/>
        </a:prstGeom>
      </xdr:spPr>
    </xdr:pic>
    <xdr:clientData/>
  </xdr:twoCellAnchor>
  <xdr:twoCellAnchor editAs="oneCell">
    <xdr:from>
      <xdr:col>23</xdr:col>
      <xdr:colOff>35719</xdr:colOff>
      <xdr:row>98</xdr:row>
      <xdr:rowOff>71438</xdr:rowOff>
    </xdr:from>
    <xdr:to>
      <xdr:col>28</xdr:col>
      <xdr:colOff>164306</xdr:colOff>
      <xdr:row>117</xdr:row>
      <xdr:rowOff>95251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0094" y="17085469"/>
          <a:ext cx="4676775" cy="3238500"/>
        </a:xfrm>
        <a:prstGeom prst="rect">
          <a:avLst/>
        </a:prstGeom>
      </xdr:spPr>
    </xdr:pic>
    <xdr:clientData/>
  </xdr:twoCellAnchor>
  <xdr:twoCellAnchor editAs="oneCell">
    <xdr:from>
      <xdr:col>24</xdr:col>
      <xdr:colOff>83344</xdr:colOff>
      <xdr:row>38</xdr:row>
      <xdr:rowOff>83343</xdr:rowOff>
    </xdr:from>
    <xdr:to>
      <xdr:col>27</xdr:col>
      <xdr:colOff>716757</xdr:colOff>
      <xdr:row>47</xdr:row>
      <xdr:rowOff>54768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44688" y="6905624"/>
          <a:ext cx="4086225" cy="14954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647700</xdr:colOff>
      <xdr:row>5</xdr:row>
      <xdr:rowOff>38100</xdr:rowOff>
    </xdr:from>
    <xdr:to>
      <xdr:col>16</xdr:col>
      <xdr:colOff>485774</xdr:colOff>
      <xdr:row>12</xdr:row>
      <xdr:rowOff>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1625" y="895350"/>
          <a:ext cx="2581275" cy="1162050"/>
        </a:xfrm>
        <a:prstGeom prst="rect">
          <a:avLst/>
        </a:prstGeom>
      </xdr:spPr>
    </xdr:pic>
    <xdr:clientData/>
  </xdr:twoCellAnchor>
  <xdr:twoCellAnchor editAs="oneCell">
    <xdr:from>
      <xdr:col>17</xdr:col>
      <xdr:colOff>381000</xdr:colOff>
      <xdr:row>15</xdr:row>
      <xdr:rowOff>133350</xdr:rowOff>
    </xdr:from>
    <xdr:to>
      <xdr:col>21</xdr:col>
      <xdr:colOff>571500</xdr:colOff>
      <xdr:row>20</xdr:row>
      <xdr:rowOff>104775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3925" y="2705100"/>
          <a:ext cx="2933700" cy="828675"/>
        </a:xfrm>
        <a:prstGeom prst="rect">
          <a:avLst/>
        </a:prstGeom>
      </xdr:spPr>
    </xdr:pic>
    <xdr:clientData/>
  </xdr:twoCellAnchor>
  <xdr:twoCellAnchor editAs="oneCell">
    <xdr:from>
      <xdr:col>13</xdr:col>
      <xdr:colOff>161925</xdr:colOff>
      <xdr:row>47</xdr:row>
      <xdr:rowOff>9525</xdr:rowOff>
    </xdr:from>
    <xdr:to>
      <xdr:col>16</xdr:col>
      <xdr:colOff>682016</xdr:colOff>
      <xdr:row>53</xdr:row>
      <xdr:rowOff>142875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1650" y="8067675"/>
          <a:ext cx="2581275" cy="1162050"/>
        </a:xfrm>
        <a:prstGeom prst="rect">
          <a:avLst/>
        </a:prstGeom>
      </xdr:spPr>
    </xdr:pic>
    <xdr:clientData/>
  </xdr:twoCellAnchor>
  <xdr:twoCellAnchor editAs="oneCell">
    <xdr:from>
      <xdr:col>17</xdr:col>
      <xdr:colOff>438150</xdr:colOff>
      <xdr:row>29</xdr:row>
      <xdr:rowOff>66675</xdr:rowOff>
    </xdr:from>
    <xdr:to>
      <xdr:col>21</xdr:col>
      <xdr:colOff>628650</xdr:colOff>
      <xdr:row>34</xdr:row>
      <xdr:rowOff>38100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11075" y="5038725"/>
          <a:ext cx="2933700" cy="828675"/>
        </a:xfrm>
        <a:prstGeom prst="rect">
          <a:avLst/>
        </a:prstGeom>
      </xdr:spPr>
    </xdr:pic>
    <xdr:clientData/>
  </xdr:twoCellAnchor>
  <xdr:twoCellAnchor editAs="oneCell">
    <xdr:from>
      <xdr:col>17</xdr:col>
      <xdr:colOff>457200</xdr:colOff>
      <xdr:row>57</xdr:row>
      <xdr:rowOff>142875</xdr:rowOff>
    </xdr:from>
    <xdr:to>
      <xdr:col>21</xdr:col>
      <xdr:colOff>647700</xdr:colOff>
      <xdr:row>62</xdr:row>
      <xdr:rowOff>114300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0125" y="9915525"/>
          <a:ext cx="2933700" cy="828675"/>
        </a:xfrm>
        <a:prstGeom prst="rect">
          <a:avLst/>
        </a:prstGeom>
      </xdr:spPr>
    </xdr:pic>
    <xdr:clientData/>
  </xdr:twoCellAnchor>
  <xdr:twoCellAnchor editAs="oneCell">
    <xdr:from>
      <xdr:col>17</xdr:col>
      <xdr:colOff>466725</xdr:colOff>
      <xdr:row>43</xdr:row>
      <xdr:rowOff>95250</xdr:rowOff>
    </xdr:from>
    <xdr:to>
      <xdr:col>21</xdr:col>
      <xdr:colOff>657225</xdr:colOff>
      <xdr:row>48</xdr:row>
      <xdr:rowOff>66675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39650" y="7467600"/>
          <a:ext cx="2933700" cy="828675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</xdr:colOff>
      <xdr:row>19</xdr:row>
      <xdr:rowOff>0</xdr:rowOff>
    </xdr:from>
    <xdr:to>
      <xdr:col>16</xdr:col>
      <xdr:colOff>571500</xdr:colOff>
      <xdr:row>25</xdr:row>
      <xdr:rowOff>133350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77350" y="3257550"/>
          <a:ext cx="2581275" cy="1162050"/>
        </a:xfrm>
        <a:prstGeom prst="rect">
          <a:avLst/>
        </a:prstGeom>
      </xdr:spPr>
    </xdr:pic>
    <xdr:clientData/>
  </xdr:twoCellAnchor>
  <xdr:twoCellAnchor editAs="oneCell">
    <xdr:from>
      <xdr:col>13</xdr:col>
      <xdr:colOff>142875</xdr:colOff>
      <xdr:row>33</xdr:row>
      <xdr:rowOff>85725</xdr:rowOff>
    </xdr:from>
    <xdr:to>
      <xdr:col>16</xdr:col>
      <xdr:colOff>666750</xdr:colOff>
      <xdr:row>40</xdr:row>
      <xdr:rowOff>47625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5743575"/>
          <a:ext cx="2581275" cy="1162050"/>
        </a:xfrm>
        <a:prstGeom prst="rect">
          <a:avLst/>
        </a:prstGeom>
      </xdr:spPr>
    </xdr:pic>
    <xdr:clientData/>
  </xdr:twoCellAnchor>
  <xdr:twoCellAnchor editAs="oneCell">
    <xdr:from>
      <xdr:col>17</xdr:col>
      <xdr:colOff>666750</xdr:colOff>
      <xdr:row>76</xdr:row>
      <xdr:rowOff>47625</xdr:rowOff>
    </xdr:from>
    <xdr:to>
      <xdr:col>24</xdr:col>
      <xdr:colOff>507566</xdr:colOff>
      <xdr:row>82</xdr:row>
      <xdr:rowOff>19051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9675" y="13077825"/>
          <a:ext cx="4419600" cy="1000125"/>
        </a:xfrm>
        <a:prstGeom prst="rect">
          <a:avLst/>
        </a:prstGeom>
      </xdr:spPr>
    </xdr:pic>
    <xdr:clientData/>
  </xdr:twoCellAnchor>
  <xdr:twoCellAnchor editAs="oneCell">
    <xdr:from>
      <xdr:col>18</xdr:col>
      <xdr:colOff>38100</xdr:colOff>
      <xdr:row>94</xdr:row>
      <xdr:rowOff>0</xdr:rowOff>
    </xdr:from>
    <xdr:to>
      <xdr:col>24</xdr:col>
      <xdr:colOff>564716</xdr:colOff>
      <xdr:row>99</xdr:row>
      <xdr:rowOff>142876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96825" y="16116300"/>
          <a:ext cx="4419600" cy="1000125"/>
        </a:xfrm>
        <a:prstGeom prst="rect">
          <a:avLst/>
        </a:prstGeom>
      </xdr:spPr>
    </xdr:pic>
    <xdr:clientData/>
  </xdr:twoCellAnchor>
  <xdr:twoCellAnchor editAs="oneCell">
    <xdr:from>
      <xdr:col>17</xdr:col>
      <xdr:colOff>419100</xdr:colOff>
      <xdr:row>66</xdr:row>
      <xdr:rowOff>19050</xdr:rowOff>
    </xdr:from>
    <xdr:to>
      <xdr:col>22</xdr:col>
      <xdr:colOff>428626</xdr:colOff>
      <xdr:row>72</xdr:row>
      <xdr:rowOff>38100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92025" y="11334750"/>
          <a:ext cx="3438525" cy="1047750"/>
        </a:xfrm>
        <a:prstGeom prst="rect">
          <a:avLst/>
        </a:prstGeom>
      </xdr:spPr>
    </xdr:pic>
    <xdr:clientData/>
  </xdr:twoCellAnchor>
  <xdr:twoCellAnchor editAs="oneCell">
    <xdr:from>
      <xdr:col>17</xdr:col>
      <xdr:colOff>390525</xdr:colOff>
      <xdr:row>83</xdr:row>
      <xdr:rowOff>104775</xdr:rowOff>
    </xdr:from>
    <xdr:to>
      <xdr:col>22</xdr:col>
      <xdr:colOff>400051</xdr:colOff>
      <xdr:row>89</xdr:row>
      <xdr:rowOff>123826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63450" y="14335125"/>
          <a:ext cx="3438525" cy="1047750"/>
        </a:xfrm>
        <a:prstGeom prst="rect">
          <a:avLst/>
        </a:prstGeom>
      </xdr:spPr>
    </xdr:pic>
    <xdr:clientData/>
  </xdr:twoCellAnchor>
  <xdr:twoCellAnchor>
    <xdr:from>
      <xdr:col>16</xdr:col>
      <xdr:colOff>638175</xdr:colOff>
      <xdr:row>8</xdr:row>
      <xdr:rowOff>161925</xdr:rowOff>
    </xdr:from>
    <xdr:to>
      <xdr:col>18</xdr:col>
      <xdr:colOff>666750</xdr:colOff>
      <xdr:row>14</xdr:row>
      <xdr:rowOff>133350</xdr:rowOff>
    </xdr:to>
    <xdr:cxnSp macro="">
      <xdr:nvCxnSpPr>
        <xdr:cNvPr id="20" name="直線矢印コネクタ 19"/>
        <xdr:cNvCxnSpPr/>
      </xdr:nvCxnSpPr>
      <xdr:spPr>
        <a:xfrm>
          <a:off x="11925300" y="1533525"/>
          <a:ext cx="1400175" cy="10001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304800</xdr:colOff>
      <xdr:row>37</xdr:row>
      <xdr:rowOff>0</xdr:rowOff>
    </xdr:from>
    <xdr:to>
      <xdr:col>19</xdr:col>
      <xdr:colOff>238125</xdr:colOff>
      <xdr:row>42</xdr:row>
      <xdr:rowOff>161925</xdr:rowOff>
    </xdr:to>
    <xdr:cxnSp macro="">
      <xdr:nvCxnSpPr>
        <xdr:cNvPr id="22" name="直線矢印コネクタ 21"/>
        <xdr:cNvCxnSpPr/>
      </xdr:nvCxnSpPr>
      <xdr:spPr>
        <a:xfrm>
          <a:off x="12277725" y="6343650"/>
          <a:ext cx="1304925" cy="1019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447675</xdr:colOff>
      <xdr:row>72</xdr:row>
      <xdr:rowOff>161925</xdr:rowOff>
    </xdr:from>
    <xdr:to>
      <xdr:col>21</xdr:col>
      <xdr:colOff>493394</xdr:colOff>
      <xdr:row>76</xdr:row>
      <xdr:rowOff>0</xdr:rowOff>
    </xdr:to>
    <xdr:sp macro="" textlink="">
      <xdr:nvSpPr>
        <xdr:cNvPr id="25" name="下矢印 24"/>
        <xdr:cNvSpPr/>
      </xdr:nvSpPr>
      <xdr:spPr>
        <a:xfrm>
          <a:off x="15163800" y="12506325"/>
          <a:ext cx="45719" cy="5238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428625</xdr:colOff>
      <xdr:row>90</xdr:row>
      <xdr:rowOff>28575</xdr:rowOff>
    </xdr:from>
    <xdr:to>
      <xdr:col>21</xdr:col>
      <xdr:colOff>474344</xdr:colOff>
      <xdr:row>93</xdr:row>
      <xdr:rowOff>123825</xdr:rowOff>
    </xdr:to>
    <xdr:sp macro="" textlink="">
      <xdr:nvSpPr>
        <xdr:cNvPr id="26" name="下矢印 25"/>
        <xdr:cNvSpPr/>
      </xdr:nvSpPr>
      <xdr:spPr>
        <a:xfrm>
          <a:off x="15144750" y="15459075"/>
          <a:ext cx="45719" cy="6096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17</xdr:col>
      <xdr:colOff>381000</xdr:colOff>
      <xdr:row>103</xdr:row>
      <xdr:rowOff>57150</xdr:rowOff>
    </xdr:from>
    <xdr:to>
      <xdr:col>22</xdr:col>
      <xdr:colOff>390526</xdr:colOff>
      <xdr:row>109</xdr:row>
      <xdr:rowOff>76200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53925" y="17716500"/>
          <a:ext cx="3438525" cy="1047750"/>
        </a:xfrm>
        <a:prstGeom prst="rect">
          <a:avLst/>
        </a:prstGeom>
      </xdr:spPr>
    </xdr:pic>
    <xdr:clientData/>
  </xdr:twoCellAnchor>
  <xdr:twoCellAnchor editAs="oneCell">
    <xdr:from>
      <xdr:col>18</xdr:col>
      <xdr:colOff>95250</xdr:colOff>
      <xdr:row>113</xdr:row>
      <xdr:rowOff>57150</xdr:rowOff>
    </xdr:from>
    <xdr:to>
      <xdr:col>24</xdr:col>
      <xdr:colOff>621866</xdr:colOff>
      <xdr:row>119</xdr:row>
      <xdr:rowOff>28575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3975" y="19431000"/>
          <a:ext cx="4419600" cy="1000125"/>
        </a:xfrm>
        <a:prstGeom prst="rect">
          <a:avLst/>
        </a:prstGeom>
      </xdr:spPr>
    </xdr:pic>
    <xdr:clientData/>
  </xdr:twoCellAnchor>
  <xdr:twoCellAnchor editAs="oneCell">
    <xdr:from>
      <xdr:col>17</xdr:col>
      <xdr:colOff>428625</xdr:colOff>
      <xdr:row>123</xdr:row>
      <xdr:rowOff>123825</xdr:rowOff>
    </xdr:from>
    <xdr:to>
      <xdr:col>22</xdr:col>
      <xdr:colOff>438151</xdr:colOff>
      <xdr:row>129</xdr:row>
      <xdr:rowOff>142874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1550" y="21212175"/>
          <a:ext cx="3438525" cy="1047750"/>
        </a:xfrm>
        <a:prstGeom prst="rect">
          <a:avLst/>
        </a:prstGeom>
      </xdr:spPr>
    </xdr:pic>
    <xdr:clientData/>
  </xdr:twoCellAnchor>
  <xdr:twoCellAnchor editAs="oneCell">
    <xdr:from>
      <xdr:col>18</xdr:col>
      <xdr:colOff>209550</xdr:colOff>
      <xdr:row>133</xdr:row>
      <xdr:rowOff>57150</xdr:rowOff>
    </xdr:from>
    <xdr:to>
      <xdr:col>24</xdr:col>
      <xdr:colOff>736166</xdr:colOff>
      <xdr:row>139</xdr:row>
      <xdr:rowOff>28574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68275" y="22860000"/>
          <a:ext cx="4419600" cy="1000125"/>
        </a:xfrm>
        <a:prstGeom prst="rect">
          <a:avLst/>
        </a:prstGeom>
      </xdr:spPr>
    </xdr:pic>
    <xdr:clientData/>
  </xdr:twoCellAnchor>
  <xdr:twoCellAnchor>
    <xdr:from>
      <xdr:col>21</xdr:col>
      <xdr:colOff>600075</xdr:colOff>
      <xdr:row>110</xdr:row>
      <xdr:rowOff>133350</xdr:rowOff>
    </xdr:from>
    <xdr:to>
      <xdr:col>21</xdr:col>
      <xdr:colOff>645794</xdr:colOff>
      <xdr:row>112</xdr:row>
      <xdr:rowOff>133350</xdr:rowOff>
    </xdr:to>
    <xdr:sp macro="" textlink="">
      <xdr:nvSpPr>
        <xdr:cNvPr id="3" name="下矢印 2"/>
        <xdr:cNvSpPr/>
      </xdr:nvSpPr>
      <xdr:spPr>
        <a:xfrm>
          <a:off x="14392275" y="19145250"/>
          <a:ext cx="45719" cy="342900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590550</xdr:colOff>
      <xdr:row>130</xdr:row>
      <xdr:rowOff>85725</xdr:rowOff>
    </xdr:from>
    <xdr:to>
      <xdr:col>21</xdr:col>
      <xdr:colOff>636269</xdr:colOff>
      <xdr:row>132</xdr:row>
      <xdr:rowOff>142875</xdr:rowOff>
    </xdr:to>
    <xdr:sp macro="" textlink="">
      <xdr:nvSpPr>
        <xdr:cNvPr id="5" name="下矢印 4"/>
        <xdr:cNvSpPr/>
      </xdr:nvSpPr>
      <xdr:spPr>
        <a:xfrm>
          <a:off x="14382750" y="22526625"/>
          <a:ext cx="45719" cy="4000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91336</xdr:colOff>
      <xdr:row>56</xdr:row>
      <xdr:rowOff>91335</xdr:rowOff>
    </xdr:from>
    <xdr:to>
      <xdr:col>25</xdr:col>
      <xdr:colOff>575968</xdr:colOff>
      <xdr:row>62</xdr:row>
      <xdr:rowOff>52004</xdr:rowOff>
    </xdr:to>
    <xdr:sp macro="" textlink="">
      <xdr:nvSpPr>
        <xdr:cNvPr id="16" name="下矢印 15"/>
        <xdr:cNvSpPr/>
      </xdr:nvSpPr>
      <xdr:spPr>
        <a:xfrm>
          <a:off x="15122569" y="9707671"/>
          <a:ext cx="484632" cy="978408"/>
        </a:xfrm>
        <a:prstGeom prst="downArrow">
          <a:avLst/>
        </a:prstGeom>
        <a:solidFill>
          <a:schemeClr val="accent3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opLeftCell="A10" workbookViewId="0">
      <selection activeCell="A20" sqref="A20"/>
    </sheetView>
  </sheetViews>
  <sheetFormatPr defaultRowHeight="13.5"/>
  <cols>
    <col min="1" max="1" width="23.25" style="1" customWidth="1"/>
    <col min="2" max="2" width="6.125" style="1" customWidth="1"/>
    <col min="3" max="3" width="11.75" style="1" customWidth="1"/>
    <col min="4" max="4" width="14.25" style="1" customWidth="1"/>
    <col min="5" max="5" width="10.5" style="1" customWidth="1"/>
    <col min="6" max="16384" width="9" style="1"/>
  </cols>
  <sheetData>
    <row r="1" spans="1:19" ht="18.75">
      <c r="A1" s="77" t="s">
        <v>255</v>
      </c>
      <c r="D1" s="78" t="s">
        <v>250</v>
      </c>
      <c r="E1" s="8" t="s">
        <v>20</v>
      </c>
      <c r="F1" s="9" t="s">
        <v>8</v>
      </c>
      <c r="G1" s="2"/>
      <c r="H1" s="4" t="s">
        <v>10</v>
      </c>
      <c r="J1" s="4" t="s">
        <v>13</v>
      </c>
      <c r="L1" s="4" t="s">
        <v>15</v>
      </c>
      <c r="N1" s="4" t="s">
        <v>17</v>
      </c>
    </row>
    <row r="2" spans="1:19">
      <c r="A2" s="79"/>
      <c r="F2" s="10">
        <f>IFERROR(VLOOKUP($B$5,Norma!$A$8:$K$16,2,FALSE)*$B$6*1000/(2*PI()*$B$7),"")</f>
        <v>621.02258794457555</v>
      </c>
      <c r="G2" s="11" t="s">
        <v>9</v>
      </c>
      <c r="H2" s="10">
        <f>IF($B$5&lt;3,"",VLOOKUP($B$5,Norma!$A$8:$K$16,4,FALSE)*$B$6*1000/(2*PI()*$B$7))</f>
        <v>2646.5875486751274</v>
      </c>
      <c r="I2" s="11" t="s">
        <v>11</v>
      </c>
      <c r="J2" s="10">
        <f>IF($B$5&lt;5,"",VLOOKUP($B$5,Norma!$A$8:$K$16,6,FALSE)*$B$6*1000/(2*PI()*$B$7))</f>
        <v>3121.9833636906192</v>
      </c>
      <c r="K2" s="11" t="s">
        <v>14</v>
      </c>
      <c r="L2" s="10">
        <f>IF($B$5&lt;7,"",VLOOKUP($B$5,Norma!$A$8:$K$16,8,FALSE)*$B$6*1000/(2*PI()*$B$7))</f>
        <v>1768.3705726940491</v>
      </c>
      <c r="M2" s="11" t="s">
        <v>16</v>
      </c>
      <c r="N2" s="12" t="str">
        <f>IF($B$5&lt;9,"",VLOOKUP($B$5,Norma!$A$8:$K$16,10,FALSE)*$B$6*1000/(2*PI()*$B$7))</f>
        <v/>
      </c>
      <c r="O2" s="4" t="s">
        <v>18</v>
      </c>
      <c r="S2" s="4" t="s">
        <v>254</v>
      </c>
    </row>
    <row r="3" spans="1:19">
      <c r="A3" s="80" t="s">
        <v>256</v>
      </c>
      <c r="B3" s="2"/>
      <c r="C3" s="2"/>
      <c r="D3" s="2"/>
      <c r="F3" s="13" t="s">
        <v>0</v>
      </c>
      <c r="G3" s="14">
        <f>IF($B$5&lt;2,"/",VLOOKUP($B$5,Norma!$A$8:$K$16,3,FALSE)*1000000/($B$6*2*PI()*$B$7))</f>
        <v>176.83705726940491</v>
      </c>
      <c r="H3" s="13" t="s">
        <v>12</v>
      </c>
      <c r="I3" s="14">
        <f>IF($B$5&lt;4,"",VLOOKUP($B$5,Norma!$A$8:$K$16,5,FALSE)*1000000/($B$6*2*PI()*$B$7))</f>
        <v>312.19833636906191</v>
      </c>
      <c r="J3" s="13" t="s">
        <v>12</v>
      </c>
      <c r="K3" s="14">
        <f>IF($B$5&lt;6,"",VLOOKUP($B$5,Norma!$A$8:$K$16,7,FALSE)*1000000/($B$6*2*PI()*$B$7))</f>
        <v>264.65875486751276</v>
      </c>
      <c r="L3" s="13" t="s">
        <v>12</v>
      </c>
      <c r="M3" s="14">
        <f>IF($B$5&lt;8,"",VLOOKUP($B$5,Norma!$A$8:$K$16,9,FALSE)*1000000/($B$6*2*PI()*$B$7))</f>
        <v>62.102258794457555</v>
      </c>
      <c r="N3" s="13" t="s">
        <v>0</v>
      </c>
      <c r="O3" s="15" t="str">
        <f>IF($B$5&lt;10,"",VLOOKUP($B$5,Norma!$A$8:$K$16,11,FALSE)*1000000/($B$6*2*PI()*$B$7))</f>
        <v/>
      </c>
    </row>
    <row r="4" spans="1:19">
      <c r="A4" s="78" t="s">
        <v>74</v>
      </c>
      <c r="B4" s="2"/>
      <c r="C4" s="2"/>
      <c r="D4" s="2"/>
      <c r="G4" s="3" t="s">
        <v>1</v>
      </c>
      <c r="I4" s="3" t="s">
        <v>1</v>
      </c>
      <c r="K4" s="3" t="s">
        <v>1</v>
      </c>
      <c r="M4" s="3" t="s">
        <v>1</v>
      </c>
      <c r="O4" s="3" t="s">
        <v>1</v>
      </c>
    </row>
    <row r="5" spans="1:19">
      <c r="A5" s="1" t="s">
        <v>3</v>
      </c>
      <c r="B5" s="5">
        <v>8</v>
      </c>
      <c r="C5" s="2" t="s">
        <v>19</v>
      </c>
    </row>
    <row r="6" spans="1:19">
      <c r="A6" s="1" t="s">
        <v>4</v>
      </c>
      <c r="B6" s="5">
        <v>100</v>
      </c>
      <c r="C6" s="1" t="s">
        <v>6</v>
      </c>
      <c r="E6" s="16" t="s">
        <v>21</v>
      </c>
      <c r="G6" s="4" t="s">
        <v>23</v>
      </c>
      <c r="I6" s="4" t="s">
        <v>25</v>
      </c>
      <c r="K6" s="4" t="s">
        <v>27</v>
      </c>
      <c r="M6" s="4" t="s">
        <v>29</v>
      </c>
      <c r="O6" s="4" t="s">
        <v>31</v>
      </c>
    </row>
    <row r="7" spans="1:19">
      <c r="A7" s="1" t="s">
        <v>5</v>
      </c>
      <c r="B7" s="6">
        <v>10</v>
      </c>
      <c r="C7" s="2" t="s">
        <v>7</v>
      </c>
      <c r="F7" s="4" t="s">
        <v>22</v>
      </c>
      <c r="G7" s="10">
        <f>IF($B$5&lt;2,"/",VLOOKUP($B$5,Norma!$A$8:$K$16,3,FALSE)*$B$6*1000/(2*PI()*$B$7))</f>
        <v>1768.3705726940491</v>
      </c>
      <c r="H7" s="4" t="s">
        <v>24</v>
      </c>
      <c r="I7" s="10">
        <f>IF($B$5&lt;4,"",VLOOKUP($B$5,Norma!$A$8:$K$16,5,FALSE)*$B$6*1000/(2*PI()*$B$7))</f>
        <v>3121.9833636906192</v>
      </c>
      <c r="J7" s="4" t="s">
        <v>26</v>
      </c>
      <c r="K7" s="10">
        <f>IF($B$5&lt;6,"",VLOOKUP($B$5,Norma!$A$8:$K$16,7,FALSE)*$B$6*1000/(2*PI()*$B$7))</f>
        <v>2646.5875486751274</v>
      </c>
      <c r="L7" s="4" t="s">
        <v>28</v>
      </c>
      <c r="M7" s="12">
        <f>IF($B$5&lt;8,"",VLOOKUP($B$5,Norma!$A$8:$K$16,9,FALSE)*$B$6*1000/(2*PI()*$B$7))</f>
        <v>621.02258794457555</v>
      </c>
      <c r="N7" s="4" t="s">
        <v>30</v>
      </c>
      <c r="O7" s="12" t="str">
        <f>IF($B$5&lt;10,"",VLOOKUP($B$5,Norma!$A$8:$K$16,11,FALSE)*$B$6*1000/(2*PI()*$B$7))</f>
        <v/>
      </c>
      <c r="S7" s="4" t="s">
        <v>254</v>
      </c>
    </row>
    <row r="8" spans="1:19">
      <c r="B8" s="2"/>
      <c r="C8" s="2"/>
      <c r="F8" s="14">
        <f>IFERROR(VLOOKUP($B$5,Norma!$A$8:$K$16,2,FALSE)*1000000/($B$6*2*PI()*$B$7),"")</f>
        <v>62.102258794457555</v>
      </c>
      <c r="G8" s="13" t="s">
        <v>0</v>
      </c>
      <c r="H8" s="14">
        <f>IF($B$5&lt;3,"",VLOOKUP($B$5,Norma!$A$8:$K$16,4,FALSE)*1000000/($B$6*2*PI()*$B$7))</f>
        <v>264.65875486751276</v>
      </c>
      <c r="I8" s="13" t="s">
        <v>0</v>
      </c>
      <c r="J8" s="14">
        <f>IF($B$5&lt;5,"",VLOOKUP($B$5,Norma!$A$8:$K$16,6,FALSE)*1000000/($B$6*2*PI()*$B$7))</f>
        <v>312.19833636906191</v>
      </c>
      <c r="K8" s="13" t="s">
        <v>0</v>
      </c>
      <c r="L8" s="14">
        <f>IF($B$5&lt;7,"",VLOOKUP($B$5,Norma!$A$8:$K$16,8,FALSE)*1000000/($B$6*2*PI()*$B$7))</f>
        <v>176.83705726940491</v>
      </c>
      <c r="M8" s="13" t="s">
        <v>0</v>
      </c>
      <c r="N8" s="15" t="str">
        <f>IF($B$5&lt;9,"",VLOOKUP($B$5,Norma!$A$8:$K$16,10,FALSE)*1000000/($B$6*2*PI()*$B$7))</f>
        <v/>
      </c>
      <c r="O8" s="13" t="s">
        <v>0</v>
      </c>
    </row>
    <row r="9" spans="1:19">
      <c r="F9" s="3" t="s">
        <v>1</v>
      </c>
      <c r="H9" s="3" t="s">
        <v>1</v>
      </c>
      <c r="J9" s="3" t="s">
        <v>1</v>
      </c>
      <c r="L9" s="3" t="s">
        <v>1</v>
      </c>
      <c r="N9" s="3" t="s">
        <v>1</v>
      </c>
    </row>
    <row r="11" spans="1:19">
      <c r="A11" s="81" t="s">
        <v>75</v>
      </c>
    </row>
    <row r="12" spans="1:19">
      <c r="A12" s="26" t="s">
        <v>76</v>
      </c>
      <c r="B12" s="7">
        <v>5</v>
      </c>
      <c r="C12" s="26" t="s">
        <v>93</v>
      </c>
      <c r="D12" s="82" t="s">
        <v>251</v>
      </c>
    </row>
    <row r="13" spans="1:19">
      <c r="A13" s="26" t="s">
        <v>77</v>
      </c>
      <c r="B13" s="7">
        <v>100</v>
      </c>
      <c r="C13" s="26" t="s">
        <v>80</v>
      </c>
      <c r="E13" s="8" t="s">
        <v>20</v>
      </c>
      <c r="F13" s="9" t="s">
        <v>8</v>
      </c>
      <c r="G13" s="2"/>
      <c r="H13" s="4" t="s">
        <v>10</v>
      </c>
      <c r="J13" s="4" t="s">
        <v>13</v>
      </c>
      <c r="L13" s="4" t="s">
        <v>15</v>
      </c>
      <c r="N13" s="4" t="s">
        <v>83</v>
      </c>
    </row>
    <row r="14" spans="1:19">
      <c r="A14" s="26" t="s">
        <v>78</v>
      </c>
      <c r="B14" s="6">
        <v>10</v>
      </c>
      <c r="C14" s="26" t="s">
        <v>82</v>
      </c>
      <c r="F14" s="17">
        <f>IFERROR(VLOOKUP($B$12,Norma!$A$19:$J$22,2,FALSE)*$B$13*1000/(2*PI()*$B$14),"")</f>
        <v>1554.9437940078176</v>
      </c>
      <c r="G14" s="18" t="s">
        <v>70</v>
      </c>
      <c r="H14" s="17">
        <f>IFERROR(VLOOKUP($B$12,Norma!$A$19:$J$22,4,FALSE)*$B$13*1000/(2*PI()*$B$14),"")</f>
        <v>3241.9861907819081</v>
      </c>
      <c r="I14" s="18" t="s">
        <v>71</v>
      </c>
      <c r="J14" s="17">
        <f>IFERROR(VLOOKUP($B$12,Norma!$A$19:$J$22,6,FALSE)*$B$13*1000/(2*PI()*$B$14),"")</f>
        <v>1554.9437940078176</v>
      </c>
      <c r="K14" s="18" t="s">
        <v>72</v>
      </c>
      <c r="L14" s="17">
        <f>IFERROR(VLOOKUP($B$12,Norma!$A$19:$J$22,8,FALSE)*$B$13*1000/(2*PI()*$B$14),"")</f>
        <v>0</v>
      </c>
      <c r="M14" s="18" t="s">
        <v>73</v>
      </c>
      <c r="N14" s="17">
        <f>IFERROR(VLOOKUP($B$12,Norma!$A$19:$J$22,10,FALSE)*$B$13*1000/(2*PI()*$B$14),"")</f>
        <v>0</v>
      </c>
    </row>
    <row r="15" spans="1:19">
      <c r="F15" s="19" t="s">
        <v>0</v>
      </c>
      <c r="G15" s="20">
        <f>IFERROR(VLOOKUP($B$12,Norma!$A$19:$J$22,3,FALSE)*1000000/($B$13*2*PI()*$B$14),"")</f>
        <v>268.17607910984361</v>
      </c>
      <c r="H15" s="19" t="s">
        <v>0</v>
      </c>
      <c r="I15" s="20">
        <f>IFERROR(VLOOKUP($B$12,Norma!$A$19:$J$22,5,FALSE)*1000000/($B$13*2*PI()*$B$14),"")</f>
        <v>268.17607910984361</v>
      </c>
      <c r="J15" s="19" t="s">
        <v>0</v>
      </c>
      <c r="K15" s="20">
        <f>IFERROR(VLOOKUP($B$12,Norma!$A$19:$J$22,7,FALSE)*1000000/($B$13*2*PI()*$B$14),"")</f>
        <v>0</v>
      </c>
      <c r="L15" s="19" t="s">
        <v>0</v>
      </c>
      <c r="M15" s="20">
        <f>IFERROR(VLOOKUP($B$12,Norma!$A$19:$J$22,9,FALSE)*1000000/($B$13*2*PI()*$B$14),"")</f>
        <v>0</v>
      </c>
      <c r="N15" s="19" t="s">
        <v>0</v>
      </c>
    </row>
    <row r="16" spans="1:19">
      <c r="B16" s="1" t="s">
        <v>257</v>
      </c>
      <c r="F16" s="21"/>
      <c r="G16" s="19" t="s">
        <v>1</v>
      </c>
      <c r="H16" s="21"/>
      <c r="I16" s="19" t="s">
        <v>1</v>
      </c>
      <c r="J16" s="21"/>
      <c r="K16" s="19" t="s">
        <v>1</v>
      </c>
      <c r="L16" s="21"/>
      <c r="M16" s="19" t="s">
        <v>1</v>
      </c>
      <c r="N16" s="21"/>
      <c r="O16" s="3"/>
    </row>
    <row r="17" spans="4:15">
      <c r="F17" s="21"/>
      <c r="G17" s="21"/>
      <c r="H17" s="21"/>
      <c r="I17" s="21"/>
      <c r="J17" s="21"/>
      <c r="K17" s="21"/>
      <c r="L17" s="21"/>
      <c r="M17" s="21"/>
      <c r="N17" s="21"/>
    </row>
    <row r="18" spans="4:15">
      <c r="E18" s="16" t="s">
        <v>21</v>
      </c>
      <c r="F18" s="21"/>
      <c r="G18" s="18" t="s">
        <v>23</v>
      </c>
      <c r="H18" s="21"/>
      <c r="I18" s="18" t="s">
        <v>25</v>
      </c>
      <c r="J18" s="21"/>
      <c r="K18" s="18" t="s">
        <v>27</v>
      </c>
      <c r="L18" s="21"/>
      <c r="M18" s="18" t="s">
        <v>29</v>
      </c>
      <c r="N18" s="21"/>
      <c r="O18" s="4"/>
    </row>
    <row r="19" spans="4:15">
      <c r="F19" s="18" t="s">
        <v>85</v>
      </c>
      <c r="G19" s="17">
        <f>IFERROR(VLOOKUP($B$12,Norma!$A$19:$J$22,3,FALSE)*$B$13*1000/(2*PI()*$B$14),"")</f>
        <v>2681.7607910984366</v>
      </c>
      <c r="H19" s="18" t="s">
        <v>87</v>
      </c>
      <c r="I19" s="17">
        <f>IFERROR(VLOOKUP($B$12,Norma!$A$19:$J$22,5,FALSE)*$B$13*1000/(2*PI()*$B$14),"")</f>
        <v>2681.7607910984366</v>
      </c>
      <c r="J19" s="18" t="s">
        <v>89</v>
      </c>
      <c r="K19" s="17">
        <f>IFERROR(VLOOKUP($B$12,Norma!$A$19:$J$22,7,FALSE)*$B$13*1000/(2*PI()*$B$14),"")</f>
        <v>0</v>
      </c>
      <c r="L19" s="18" t="s">
        <v>91</v>
      </c>
      <c r="M19" s="17">
        <f>IFERROR(VLOOKUP($B$12,Norma!$A$19:$J$22,9,FALSE)*$B$13*1000/(2*PI()*$B$14),"")</f>
        <v>0</v>
      </c>
      <c r="N19" s="18" t="s">
        <v>92</v>
      </c>
    </row>
    <row r="20" spans="4:15">
      <c r="F20" s="20">
        <f>IFERROR(VLOOKUP($B$12,Norma!$A$19:$J$22,2,FALSE)*1000000/($B$13*2*PI()*$B$14),"")</f>
        <v>155.49437940078172</v>
      </c>
      <c r="G20" s="19" t="s">
        <v>0</v>
      </c>
      <c r="H20" s="20">
        <f>IFERROR(VLOOKUP($B$12,Norma!$A$19:$J$22,4,FALSE)*1000000/($B$13*2*PI()*$B$14),"")</f>
        <v>324.1986190781908</v>
      </c>
      <c r="I20" s="19" t="s">
        <v>0</v>
      </c>
      <c r="J20" s="20">
        <f>IFERROR(VLOOKUP($B$12,Norma!$A$19:$J$22,6,FALSE)*1000000/($B$13*2*PI()*$B$14),"")</f>
        <v>155.49437940078172</v>
      </c>
      <c r="K20" s="19" t="s">
        <v>0</v>
      </c>
      <c r="L20" s="20">
        <f>IFERROR(VLOOKUP($B$12,Norma!$A$19:$J$22,8,FALSE)*1000000/($B$13*2*PI()*$B$14),"")</f>
        <v>0</v>
      </c>
      <c r="M20" s="19" t="s">
        <v>0</v>
      </c>
      <c r="N20" s="20">
        <f>IFERROR(VLOOKUP($B$12,Norma!$A$19:$J$22,10,FALSE)*1000000/($B$13*2*PI()*$B$14),"")</f>
        <v>0</v>
      </c>
    </row>
    <row r="21" spans="4:15">
      <c r="F21" s="3" t="s">
        <v>1</v>
      </c>
      <c r="H21" s="3" t="s">
        <v>1</v>
      </c>
      <c r="J21" s="3" t="s">
        <v>1</v>
      </c>
      <c r="L21" s="3" t="s">
        <v>1</v>
      </c>
      <c r="N21" s="3" t="s">
        <v>1</v>
      </c>
    </row>
    <row r="23" spans="4:15">
      <c r="D23" s="82" t="s">
        <v>252</v>
      </c>
    </row>
    <row r="24" spans="4:15">
      <c r="E24" s="8" t="s">
        <v>20</v>
      </c>
      <c r="F24" s="9" t="s">
        <v>8</v>
      </c>
      <c r="G24" s="2"/>
      <c r="H24" s="4" t="s">
        <v>10</v>
      </c>
      <c r="J24" s="4" t="s">
        <v>13</v>
      </c>
      <c r="L24" s="4" t="s">
        <v>15</v>
      </c>
      <c r="N24" s="4" t="s">
        <v>83</v>
      </c>
    </row>
    <row r="25" spans="4:15">
      <c r="F25" s="17">
        <f>IFERROR(VLOOKUP($B$12,Norma!$A$25:$J$28,2,FALSE)*$B$13*1000/(2*PI()*$B$14),"")</f>
        <v>1868.4790318988512</v>
      </c>
      <c r="G25" s="18" t="s">
        <v>70</v>
      </c>
      <c r="H25" s="17">
        <f>IFERROR(VLOOKUP($B$12,Norma!$A$25:$J$28,4,FALSE)*$B$13*1000/(2*PI()*$B$14),"")</f>
        <v>3420.2397270448309</v>
      </c>
      <c r="I25" s="18" t="s">
        <v>11</v>
      </c>
      <c r="J25" s="17">
        <f>IFERROR(VLOOKUP($B$12,Norma!$A$25:$J$28,6,FALSE)*$B$13*1000/(2*PI()*$B$14),"")</f>
        <v>1868.4790318988512</v>
      </c>
      <c r="K25" s="18" t="s">
        <v>72</v>
      </c>
      <c r="L25" s="17">
        <f>IFERROR(VLOOKUP($B$12,Norma!$A$25:$J$28,8,FALSE)*$B$13*1000/(2*PI()*$B$14),"")</f>
        <v>0</v>
      </c>
      <c r="M25" s="18" t="s">
        <v>73</v>
      </c>
      <c r="N25" s="17">
        <f>IFERROR(VLOOKUP($B$12,Norma!$A$25:$J$28,10,FALSE)*$B$13*1000/(2*PI()*$B$14),"")</f>
        <v>0</v>
      </c>
    </row>
    <row r="26" spans="4:15">
      <c r="F26" s="19" t="s">
        <v>0</v>
      </c>
      <c r="G26" s="20">
        <f>IFERROR(VLOOKUP($B$12,Norma!$A$25:$J$28,3,FALSE)*1000000/($B$13*2*PI()*$B$14),"")</f>
        <v>257.19438803650286</v>
      </c>
      <c r="H26" s="19" t="s">
        <v>0</v>
      </c>
      <c r="I26" s="20">
        <f>IFERROR(VLOOKUP($B$12,Norma!$A$25:$J$28,5,FALSE)*1000000/($B$13*2*PI()*$B$14),"")</f>
        <v>257.19438803650286</v>
      </c>
      <c r="J26" s="19" t="s">
        <v>0</v>
      </c>
      <c r="K26" s="20">
        <f>IFERROR(VLOOKUP($B$12,Norma!$A$25:$J$28,7,FALSE)*1000000/($B$13*2*PI()*$B$14),"")</f>
        <v>0</v>
      </c>
      <c r="L26" s="19" t="s">
        <v>0</v>
      </c>
      <c r="M26" s="20">
        <f>IFERROR(VLOOKUP($B$12,Norma!$A$25:$J$28,9,FALSE)*1000000/($B$13*2*PI()*$B$14),"")</f>
        <v>0</v>
      </c>
      <c r="N26" s="19" t="s">
        <v>0</v>
      </c>
    </row>
    <row r="27" spans="4:15">
      <c r="F27" s="21"/>
      <c r="G27" s="19" t="s">
        <v>1</v>
      </c>
      <c r="H27" s="21"/>
      <c r="I27" s="19" t="s">
        <v>1</v>
      </c>
      <c r="J27" s="21"/>
      <c r="K27" s="19" t="s">
        <v>1</v>
      </c>
      <c r="L27" s="21"/>
      <c r="M27" s="19" t="s">
        <v>1</v>
      </c>
      <c r="N27" s="21"/>
    </row>
    <row r="28" spans="4:15">
      <c r="F28" s="21"/>
      <c r="G28" s="21"/>
      <c r="H28" s="21"/>
      <c r="I28" s="21"/>
      <c r="J28" s="21"/>
      <c r="K28" s="21"/>
      <c r="L28" s="21"/>
      <c r="M28" s="21"/>
      <c r="N28" s="21"/>
    </row>
    <row r="29" spans="4:15">
      <c r="E29" s="16" t="s">
        <v>21</v>
      </c>
      <c r="F29" s="21"/>
      <c r="G29" s="18" t="s">
        <v>23</v>
      </c>
      <c r="H29" s="21"/>
      <c r="I29" s="18" t="s">
        <v>25</v>
      </c>
      <c r="J29" s="21"/>
      <c r="K29" s="18" t="s">
        <v>27</v>
      </c>
      <c r="L29" s="21"/>
      <c r="M29" s="18" t="s">
        <v>29</v>
      </c>
      <c r="N29" s="21"/>
    </row>
    <row r="30" spans="4:15">
      <c r="F30" s="18" t="s">
        <v>85</v>
      </c>
      <c r="G30" s="17">
        <f>IFERROR(VLOOKUP($B$12,Norma!$A$25:$J$28,3,FALSE)*$B$13*1000/(2*PI()*$B$14),"")</f>
        <v>2571.9438803650291</v>
      </c>
      <c r="H30" s="18" t="s">
        <v>87</v>
      </c>
      <c r="I30" s="17">
        <f>IFERROR(VLOOKUP($B$12,Norma!$A$25:$J$28,5,FALSE)*$B$13*1000/(2*PI()*$B$14),"")</f>
        <v>2571.9438803650291</v>
      </c>
      <c r="J30" s="18" t="s">
        <v>89</v>
      </c>
      <c r="K30" s="17">
        <f>IFERROR(VLOOKUP($B$12,Norma!$A$25:$J$28,7,FALSE)*$B$13*1000/(2*PI()*$B$14),"")</f>
        <v>0</v>
      </c>
      <c r="L30" s="18" t="s">
        <v>91</v>
      </c>
      <c r="M30" s="17">
        <f>IFERROR(VLOOKUP($B$12,Norma!$A$25:$J$28,9,FALSE)*$B$13*1000/(2*PI()*$B$14),"")</f>
        <v>0</v>
      </c>
      <c r="N30" s="18" t="s">
        <v>92</v>
      </c>
    </row>
    <row r="31" spans="4:15">
      <c r="F31" s="20">
        <f>IFERROR(VLOOKUP($B$12,Norma!$A$25:$J$28,2,FALSE)*1000000/($B$13*2*PI()*$B$14),"")</f>
        <v>186.84790318988513</v>
      </c>
      <c r="G31" s="19" t="s">
        <v>0</v>
      </c>
      <c r="H31" s="20">
        <f>IFERROR(VLOOKUP($B$12,Norma!$A$25:$J$28,4,FALSE)*1000000/($B$13*2*PI()*$B$14),"")</f>
        <v>342.02397270448307</v>
      </c>
      <c r="I31" s="19" t="s">
        <v>0</v>
      </c>
      <c r="J31" s="20">
        <f>IFERROR(VLOOKUP($B$12,Norma!$A$25:$J$28,6,FALSE)*1000000/($B$13*2*PI()*$B$14),"")</f>
        <v>186.84790318988513</v>
      </c>
      <c r="K31" s="19" t="s">
        <v>0</v>
      </c>
      <c r="L31" s="20">
        <f>IFERROR(VLOOKUP($B$12,Norma!$A$25:$J$28,8,FALSE)*1000000/($B$13*2*PI()*$B$14),"")</f>
        <v>0</v>
      </c>
      <c r="M31" s="19" t="s">
        <v>0</v>
      </c>
      <c r="N31" s="20">
        <f>IFERROR(VLOOKUP($B$12,Norma!$A$25:$J$28,10,FALSE)*1000000/($B$13*2*PI()*$B$14),"")</f>
        <v>0</v>
      </c>
    </row>
    <row r="32" spans="4:15">
      <c r="F32" s="3" t="s">
        <v>1</v>
      </c>
      <c r="H32" s="3" t="s">
        <v>1</v>
      </c>
      <c r="J32" s="3" t="s">
        <v>1</v>
      </c>
      <c r="L32" s="3" t="s">
        <v>1</v>
      </c>
      <c r="N32" s="3" t="s">
        <v>1</v>
      </c>
    </row>
    <row r="34" spans="4:14">
      <c r="D34" s="82" t="s">
        <v>253</v>
      </c>
    </row>
    <row r="35" spans="4:14">
      <c r="E35" s="8" t="s">
        <v>20</v>
      </c>
      <c r="F35" s="9" t="s">
        <v>8</v>
      </c>
      <c r="G35" s="2"/>
      <c r="H35" s="4" t="s">
        <v>10</v>
      </c>
      <c r="J35" s="4" t="s">
        <v>13</v>
      </c>
      <c r="L35" s="4" t="s">
        <v>15</v>
      </c>
      <c r="N35" s="4" t="s">
        <v>17</v>
      </c>
    </row>
    <row r="36" spans="4:14">
      <c r="F36" s="17">
        <f>IFERROR(VLOOKUP($B$12,Norma!$A$31:$J$34,2,FALSE)*$B$13*1000/(2*PI()*$B$14),"")</f>
        <v>2342.7607623126996</v>
      </c>
      <c r="G36" s="18" t="s">
        <v>9</v>
      </c>
      <c r="H36" s="17">
        <f>IFERROR(VLOOKUP($B$12,Norma!$A$31:$J$34,4,FALSE)*$B$13*1000/(2*PI()*$B$14),"")</f>
        <v>3789.4791950180274</v>
      </c>
      <c r="I36" s="18" t="s">
        <v>11</v>
      </c>
      <c r="J36" s="17">
        <f>IFERROR(VLOOKUP($B$12,Norma!$A$31:$J$34,6,FALSE)*$B$13*1000/(2*PI()*$B$14),"")</f>
        <v>2342.7607623126996</v>
      </c>
      <c r="K36" s="18" t="s">
        <v>14</v>
      </c>
      <c r="L36" s="17">
        <f>IFERROR(VLOOKUP($B$12,Norma!$A$31:$J$34,8,FALSE)*$B$13*1000/(2*PI()*$B$14),"")</f>
        <v>0</v>
      </c>
      <c r="M36" s="18" t="s">
        <v>16</v>
      </c>
      <c r="N36" s="17">
        <f>IFERROR(VLOOKUP($B$12,Norma!$A$31:$J$34,10,FALSE)*$B$13*1000/(2*PI()*$B$14),"")</f>
        <v>0</v>
      </c>
    </row>
    <row r="37" spans="4:14">
      <c r="F37" s="19" t="s">
        <v>0</v>
      </c>
      <c r="G37" s="20">
        <f>IFERROR(VLOOKUP($B$12,Norma!$A$31:$J$34,3,FALSE)*1000000/($B$13*2*PI()*$B$14),"")</f>
        <v>233.95776634508613</v>
      </c>
      <c r="H37" s="19" t="s">
        <v>0</v>
      </c>
      <c r="I37" s="20">
        <f>IFERROR(VLOOKUP($B$12,Norma!$A$31:$J$34,5,FALSE)*1000000/($B$13*2*PI()*$B$14),"")</f>
        <v>233.95776634508613</v>
      </c>
      <c r="J37" s="19" t="s">
        <v>0</v>
      </c>
      <c r="K37" s="20">
        <f>IFERROR(VLOOKUP($B$12,Norma!$A$31:$J$34,7,FALSE)*1000000/($B$13*2*PI()*$B$14),"")</f>
        <v>0</v>
      </c>
      <c r="L37" s="19" t="s">
        <v>0</v>
      </c>
      <c r="M37" s="20">
        <f>IFERROR(VLOOKUP($B$12,Norma!$A$31:$J$34,9,FALSE)*1000000/($B$13*2*PI()*$B$14),"")</f>
        <v>0</v>
      </c>
      <c r="N37" s="19" t="s">
        <v>0</v>
      </c>
    </row>
    <row r="38" spans="4:14">
      <c r="F38" s="21"/>
      <c r="G38" s="19" t="s">
        <v>1</v>
      </c>
      <c r="H38" s="21"/>
      <c r="I38" s="19" t="s">
        <v>1</v>
      </c>
      <c r="J38" s="21"/>
      <c r="K38" s="19" t="s">
        <v>1</v>
      </c>
      <c r="L38" s="21"/>
      <c r="M38" s="19" t="s">
        <v>1</v>
      </c>
      <c r="N38" s="21"/>
    </row>
    <row r="39" spans="4:14">
      <c r="F39" s="21"/>
      <c r="G39" s="21"/>
      <c r="H39" s="21"/>
      <c r="I39" s="21"/>
      <c r="J39" s="21"/>
      <c r="K39" s="21"/>
      <c r="L39" s="21"/>
      <c r="M39" s="21"/>
      <c r="N39" s="21"/>
    </row>
    <row r="40" spans="4:14">
      <c r="E40" s="16" t="s">
        <v>21</v>
      </c>
      <c r="F40" s="21"/>
      <c r="G40" s="18" t="s">
        <v>23</v>
      </c>
      <c r="H40" s="21"/>
      <c r="I40" s="18" t="s">
        <v>25</v>
      </c>
      <c r="J40" s="21"/>
      <c r="K40" s="18" t="s">
        <v>27</v>
      </c>
      <c r="L40" s="21"/>
      <c r="M40" s="18" t="s">
        <v>29</v>
      </c>
      <c r="N40" s="21"/>
    </row>
    <row r="41" spans="4:14">
      <c r="F41" s="18" t="s">
        <v>22</v>
      </c>
      <c r="G41" s="17">
        <f>IFERROR(VLOOKUP($B$12,Norma!$A$31:$J$34,3,FALSE)*$B$13*1000/(2*PI()*$B$14),"")</f>
        <v>2339.5776634508616</v>
      </c>
      <c r="H41" s="18" t="s">
        <v>24</v>
      </c>
      <c r="I41" s="17">
        <f>IFERROR(VLOOKUP($B$12,Norma!$A$31:$J$34,5,FALSE)*$B$13*1000/(2*PI()*$B$14),"")</f>
        <v>2339.5776634508616</v>
      </c>
      <c r="J41" s="18" t="s">
        <v>26</v>
      </c>
      <c r="K41" s="17">
        <f>IFERROR(VLOOKUP($B$12,Norma!$A$31:$J$34,7,FALSE)*$B$13*1000/(2*PI()*$B$14),"")</f>
        <v>0</v>
      </c>
      <c r="L41" s="18" t="s">
        <v>28</v>
      </c>
      <c r="M41" s="17">
        <f>IFERROR(VLOOKUP($B$12,Norma!$A$31:$J$34,9,FALSE)*$B$13*1000/(2*PI()*$B$14),"")</f>
        <v>0</v>
      </c>
      <c r="N41" s="18" t="s">
        <v>30</v>
      </c>
    </row>
    <row r="42" spans="4:14">
      <c r="F42" s="20">
        <f>IFERROR(VLOOKUP($B$12,Norma!$A$31:$J$34,2,FALSE)*1000000/($B$13*2*PI()*$B$14),"")</f>
        <v>234.27607623126991</v>
      </c>
      <c r="G42" s="19" t="s">
        <v>0</v>
      </c>
      <c r="H42" s="20">
        <f>IFERROR(VLOOKUP($B$12,Norma!$A$31:$J$34,4,FALSE)*1000000/($B$13*2*PI()*$B$14),"")</f>
        <v>378.9479195018028</v>
      </c>
      <c r="I42" s="19" t="s">
        <v>0</v>
      </c>
      <c r="J42" s="20">
        <f>IFERROR(VLOOKUP($B$12,Norma!$A$31:$J$34,6,FALSE)*1000000/($B$13*2*PI()*$B$14),"")</f>
        <v>234.27607623126991</v>
      </c>
      <c r="K42" s="19" t="s">
        <v>0</v>
      </c>
      <c r="L42" s="20">
        <f>IFERROR(VLOOKUP($B$12,Norma!$A$31:$J$34,8,FALSE)*1000000/($B$13*2*PI()*$B$14),"")</f>
        <v>0</v>
      </c>
      <c r="M42" s="19" t="s">
        <v>0</v>
      </c>
      <c r="N42" s="20">
        <f>IFERROR(VLOOKUP($B$12,Norma!$A$31:$J$34,10,FALSE)*1000000/($B$13*2*PI()*$B$14),"")</f>
        <v>0</v>
      </c>
    </row>
    <row r="43" spans="4:14">
      <c r="F43" s="3" t="s">
        <v>1</v>
      </c>
      <c r="H43" s="3" t="s">
        <v>1</v>
      </c>
      <c r="J43" s="3" t="s">
        <v>1</v>
      </c>
      <c r="L43" s="3" t="s">
        <v>1</v>
      </c>
      <c r="N43" s="3" t="s">
        <v>1</v>
      </c>
    </row>
  </sheetData>
  <sheetProtection algorithmName="SHA-512" hashValue="DJ0dVHqLGBssBGdy0s0mL/WvDli4tP5aeNtZisLm8isJPIZLqYwBi1lNozl58vDJuSHoGjr5co6zzXGzVn2X1A==" saltValue="wKZlp+WP2QuUlFnvmt2qFQ==" spinCount="100000" sheet="1" objects="1" scenarios="1" formatCells="0"/>
  <phoneticPr fontId="1"/>
  <pageMargins left="0.7" right="0.7" top="0.75" bottom="0.75" header="0.3" footer="0.3"/>
  <pageSetup paperSize="9" orientation="portrait" horizontalDpi="4294967293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K34"/>
  <sheetViews>
    <sheetView workbookViewId="0"/>
  </sheetViews>
  <sheetFormatPr defaultRowHeight="13.5"/>
  <cols>
    <col min="1" max="1" width="9.375" style="32" customWidth="1"/>
    <col min="2" max="2" width="10.375" style="32" customWidth="1"/>
    <col min="3" max="16384" width="9" style="32"/>
  </cols>
  <sheetData>
    <row r="7" spans="1:11">
      <c r="A7" s="32" t="s">
        <v>2</v>
      </c>
    </row>
    <row r="8" spans="1:11">
      <c r="A8" s="34">
        <v>2</v>
      </c>
      <c r="B8" s="32">
        <v>1.4141999999999999</v>
      </c>
      <c r="C8" s="32">
        <v>1.4141999999999999</v>
      </c>
    </row>
    <row r="9" spans="1:11">
      <c r="A9" s="34">
        <v>3</v>
      </c>
      <c r="B9" s="32">
        <v>1</v>
      </c>
      <c r="C9" s="32">
        <v>2</v>
      </c>
      <c r="D9" s="32">
        <v>1</v>
      </c>
    </row>
    <row r="10" spans="1:11">
      <c r="A10" s="34">
        <v>4</v>
      </c>
      <c r="B10" s="32">
        <v>0.76539999999999997</v>
      </c>
      <c r="C10" s="32">
        <v>1.8478000000000001</v>
      </c>
      <c r="D10" s="32">
        <v>1.8478000000000001</v>
      </c>
      <c r="E10" s="32">
        <v>0.76539999999999997</v>
      </c>
    </row>
    <row r="11" spans="1:11">
      <c r="A11" s="34">
        <v>5</v>
      </c>
      <c r="B11" s="32">
        <v>0.61799999999999999</v>
      </c>
      <c r="C11" s="32">
        <v>1.6180000000000001</v>
      </c>
      <c r="D11" s="32">
        <v>2</v>
      </c>
      <c r="E11" s="32">
        <v>1.6180000000000001</v>
      </c>
      <c r="F11" s="32">
        <v>0.61799999999999999</v>
      </c>
    </row>
    <row r="12" spans="1:11">
      <c r="A12" s="34">
        <v>6</v>
      </c>
      <c r="B12" s="32">
        <v>0.51759999999999995</v>
      </c>
      <c r="C12" s="32">
        <v>1.4141999999999999</v>
      </c>
      <c r="D12" s="32">
        <v>1.9319</v>
      </c>
      <c r="E12" s="32">
        <v>1.9319</v>
      </c>
      <c r="F12" s="32">
        <v>1.4141999999999999</v>
      </c>
      <c r="G12" s="32">
        <v>0.51759999999999995</v>
      </c>
    </row>
    <row r="13" spans="1:11">
      <c r="A13" s="34">
        <v>7</v>
      </c>
      <c r="B13" s="32">
        <v>0.44500000000000001</v>
      </c>
      <c r="C13" s="32">
        <v>1.2470000000000001</v>
      </c>
      <c r="D13" s="32">
        <v>1.8019000000000001</v>
      </c>
      <c r="E13" s="32">
        <v>2</v>
      </c>
      <c r="F13" s="32">
        <v>1.8019000000000001</v>
      </c>
      <c r="G13" s="32">
        <v>1.2470000000000001</v>
      </c>
      <c r="H13" s="32">
        <v>0.44500000000000001</v>
      </c>
    </row>
    <row r="14" spans="1:11">
      <c r="A14" s="34">
        <v>8</v>
      </c>
      <c r="B14" s="32">
        <v>0.39019999999999999</v>
      </c>
      <c r="C14" s="32">
        <v>1.1111</v>
      </c>
      <c r="D14" s="32">
        <v>1.6629</v>
      </c>
      <c r="E14" s="32">
        <v>1.9616</v>
      </c>
      <c r="F14" s="32">
        <v>1.9616</v>
      </c>
      <c r="G14" s="32">
        <v>1.6629</v>
      </c>
      <c r="H14" s="32">
        <v>1.1111</v>
      </c>
      <c r="I14" s="32">
        <v>0.39019999999999999</v>
      </c>
    </row>
    <row r="15" spans="1:11">
      <c r="A15" s="34">
        <v>9</v>
      </c>
      <c r="B15" s="32">
        <v>0.3473</v>
      </c>
      <c r="C15" s="32">
        <v>1</v>
      </c>
      <c r="D15" s="32">
        <v>1.5321</v>
      </c>
      <c r="E15" s="32">
        <v>1.8794</v>
      </c>
      <c r="F15" s="32">
        <v>2</v>
      </c>
      <c r="G15" s="32">
        <v>1.8794</v>
      </c>
      <c r="H15" s="32">
        <v>1.5321</v>
      </c>
      <c r="I15" s="32">
        <v>1</v>
      </c>
      <c r="J15" s="32">
        <v>0.3473</v>
      </c>
    </row>
    <row r="16" spans="1:11">
      <c r="A16" s="34">
        <v>10</v>
      </c>
      <c r="B16" s="32">
        <v>0.31290000000000001</v>
      </c>
      <c r="C16" s="32">
        <v>0.90800000000000003</v>
      </c>
      <c r="D16" s="32">
        <v>1.4141999999999999</v>
      </c>
      <c r="E16" s="32">
        <v>1.782</v>
      </c>
      <c r="F16" s="32">
        <v>1.9754</v>
      </c>
      <c r="G16" s="32">
        <v>1.9754</v>
      </c>
      <c r="H16" s="32">
        <v>1.782</v>
      </c>
      <c r="I16" s="32">
        <v>1.4141999999999999</v>
      </c>
      <c r="J16" s="32">
        <v>0.90800000000000003</v>
      </c>
      <c r="K16" s="32">
        <v>0.31290000000000001</v>
      </c>
    </row>
    <row r="18" spans="1:10">
      <c r="A18" s="32" t="s">
        <v>69</v>
      </c>
    </row>
    <row r="19" spans="1:10">
      <c r="A19" s="34">
        <v>3</v>
      </c>
      <c r="B19" s="32">
        <v>1.181</v>
      </c>
      <c r="C19" s="32">
        <v>1.821</v>
      </c>
      <c r="D19" s="32">
        <v>1.181</v>
      </c>
    </row>
    <row r="20" spans="1:10">
      <c r="A20" s="34">
        <v>5</v>
      </c>
      <c r="B20" s="32">
        <v>0.97699999999999998</v>
      </c>
      <c r="C20" s="32">
        <v>1.6850000000000001</v>
      </c>
      <c r="D20" s="32">
        <v>2.0369999999999999</v>
      </c>
      <c r="E20" s="32">
        <v>1.6850000000000001</v>
      </c>
      <c r="F20" s="32">
        <v>0.97699999999999998</v>
      </c>
    </row>
    <row r="21" spans="1:10">
      <c r="A21" s="34">
        <v>7</v>
      </c>
      <c r="B21" s="32">
        <v>0.91300000000000003</v>
      </c>
      <c r="C21" s="32">
        <v>1.595</v>
      </c>
      <c r="D21" s="32">
        <v>2.0019999999999998</v>
      </c>
      <c r="E21" s="32">
        <v>1.87</v>
      </c>
      <c r="F21" s="32">
        <v>2.0019999999999998</v>
      </c>
      <c r="G21" s="32">
        <v>1.595</v>
      </c>
      <c r="H21" s="32">
        <v>0.91300000000000003</v>
      </c>
    </row>
    <row r="22" spans="1:10">
      <c r="A22" s="34">
        <v>9</v>
      </c>
      <c r="B22" s="32">
        <v>0.88500000000000001</v>
      </c>
      <c r="C22" s="32">
        <v>1.5509999999999999</v>
      </c>
      <c r="D22" s="32">
        <v>1.9610000000000001</v>
      </c>
      <c r="E22" s="32">
        <v>1.8620000000000001</v>
      </c>
      <c r="F22" s="32">
        <v>2.0699999999999998</v>
      </c>
      <c r="G22" s="32">
        <v>1.8620000000000001</v>
      </c>
      <c r="H22" s="32">
        <v>1.9610000000000001</v>
      </c>
      <c r="I22" s="32">
        <v>1.5509999999999999</v>
      </c>
      <c r="J22" s="32">
        <v>0.88500000000000001</v>
      </c>
    </row>
    <row r="24" spans="1:10">
      <c r="A24" s="32" t="s">
        <v>107</v>
      </c>
      <c r="I24" s="33"/>
    </row>
    <row r="25" spans="1:10">
      <c r="A25" s="34">
        <v>3</v>
      </c>
      <c r="B25" s="32">
        <v>1.33</v>
      </c>
      <c r="C25" s="32">
        <v>1.6830000000000001</v>
      </c>
      <c r="D25" s="32">
        <v>1.33</v>
      </c>
    </row>
    <row r="26" spans="1:10">
      <c r="A26" s="34">
        <v>5</v>
      </c>
      <c r="B26" s="32">
        <v>1.1739999999999999</v>
      </c>
      <c r="C26" s="32">
        <v>1.6160000000000001</v>
      </c>
      <c r="D26" s="32">
        <v>2.149</v>
      </c>
      <c r="E26" s="32">
        <v>1.6160000000000001</v>
      </c>
      <c r="F26" s="32">
        <v>1.1739999999999999</v>
      </c>
    </row>
    <row r="27" spans="1:10">
      <c r="A27" s="34">
        <v>7</v>
      </c>
      <c r="B27" s="32">
        <v>1.1259999999999999</v>
      </c>
      <c r="C27" s="32">
        <v>1.5640000000000001</v>
      </c>
      <c r="D27" s="32">
        <v>2.137</v>
      </c>
      <c r="E27" s="32">
        <v>1.7589999999999999</v>
      </c>
      <c r="F27" s="32">
        <v>2.137</v>
      </c>
      <c r="G27" s="32">
        <v>1.5640000000000001</v>
      </c>
      <c r="H27" s="32">
        <v>1.1259999999999999</v>
      </c>
    </row>
    <row r="28" spans="1:10">
      <c r="A28" s="34">
        <v>9</v>
      </c>
      <c r="B28" s="32">
        <v>1.1060000000000001</v>
      </c>
      <c r="C28" s="32">
        <v>1.5389999999999999</v>
      </c>
      <c r="D28" s="32">
        <v>2.113</v>
      </c>
      <c r="E28" s="32">
        <v>1.758</v>
      </c>
      <c r="F28" s="32">
        <v>2.1960000000000002</v>
      </c>
      <c r="G28" s="32">
        <v>1.758</v>
      </c>
      <c r="H28" s="32">
        <v>2.113</v>
      </c>
      <c r="I28" s="32">
        <v>1.5389999999999999</v>
      </c>
      <c r="J28" s="32">
        <v>1.1060000000000001</v>
      </c>
    </row>
    <row r="30" spans="1:10">
      <c r="A30" s="32" t="s">
        <v>108</v>
      </c>
    </row>
    <row r="31" spans="1:10">
      <c r="A31" s="34">
        <v>3</v>
      </c>
      <c r="B31" s="32">
        <v>1.5760000000000001</v>
      </c>
      <c r="C31" s="32">
        <v>1.4790000000000001</v>
      </c>
      <c r="D31" s="32">
        <v>1.5760000000000001</v>
      </c>
    </row>
    <row r="32" spans="1:10">
      <c r="A32" s="34">
        <v>5</v>
      </c>
      <c r="B32" s="32">
        <v>1.472</v>
      </c>
      <c r="C32" s="32">
        <v>1.47</v>
      </c>
      <c r="D32" s="32">
        <v>2.3809999999999998</v>
      </c>
      <c r="E32" s="32">
        <v>1.47</v>
      </c>
      <c r="F32" s="32">
        <v>1.472</v>
      </c>
    </row>
    <row r="33" spans="1:10">
      <c r="A33" s="34">
        <v>7</v>
      </c>
      <c r="B33" s="32">
        <v>1.4410000000000001</v>
      </c>
      <c r="C33" s="32">
        <v>1.4470000000000001</v>
      </c>
      <c r="D33" s="32">
        <v>2.39</v>
      </c>
      <c r="E33" s="32">
        <v>1.575</v>
      </c>
      <c r="F33" s="32">
        <v>2.39</v>
      </c>
      <c r="G33" s="32">
        <v>1.4470000000000001</v>
      </c>
      <c r="H33" s="32">
        <v>1.4410000000000001</v>
      </c>
    </row>
    <row r="34" spans="1:10">
      <c r="A34" s="34">
        <v>9</v>
      </c>
      <c r="B34" s="32">
        <v>1.4279999999999999</v>
      </c>
      <c r="C34" s="32">
        <v>1.4359999999999999</v>
      </c>
      <c r="D34" s="32">
        <v>2.379</v>
      </c>
      <c r="E34" s="32">
        <v>1.58</v>
      </c>
      <c r="F34" s="32">
        <v>2.4449999999999998</v>
      </c>
      <c r="G34" s="32">
        <v>1.58</v>
      </c>
      <c r="H34" s="32">
        <v>2.379</v>
      </c>
      <c r="I34" s="32">
        <v>1.4359999999999999</v>
      </c>
      <c r="J34" s="32">
        <v>1.4279999999999999</v>
      </c>
    </row>
  </sheetData>
  <sheetProtection algorithmName="SHA-512" hashValue="AOF1UHvrIqLHs1wkVxD/WlGjCHn9fxQPcZqumLKsnO2Ce5dQTwIGFlo4UjRhwBLuJ/oganjtR8DUwf85l2JzSQ==" saltValue="o0N1aP9wp1EnJ1cx01UUnQ==" spinCount="100000" sheet="1" objects="1" scenarios="1"/>
  <phoneticPr fontId="1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D1" sqref="D1"/>
    </sheetView>
  </sheetViews>
  <sheetFormatPr defaultRowHeight="13.5"/>
  <cols>
    <col min="1" max="1" width="17.125" style="1" customWidth="1"/>
    <col min="2" max="2" width="6.75" style="1" customWidth="1"/>
    <col min="3" max="3" width="14.25" style="1" customWidth="1"/>
    <col min="4" max="16384" width="9" style="1"/>
  </cols>
  <sheetData>
    <row r="1" spans="1:14" ht="17.25">
      <c r="A1" s="25" t="s">
        <v>258</v>
      </c>
    </row>
    <row r="2" spans="1:14">
      <c r="B2" s="1" t="s">
        <v>259</v>
      </c>
    </row>
    <row r="3" spans="1:14">
      <c r="B3" s="2"/>
      <c r="C3" s="2"/>
      <c r="D3" s="2"/>
    </row>
    <row r="4" spans="1:14">
      <c r="A4" s="26" t="s">
        <v>3</v>
      </c>
      <c r="B4" s="30">
        <v>5</v>
      </c>
      <c r="C4" s="27" t="s">
        <v>133</v>
      </c>
      <c r="D4" s="2"/>
      <c r="J4" s="1" t="s">
        <v>263</v>
      </c>
    </row>
    <row r="5" spans="1:14">
      <c r="A5" s="26" t="s">
        <v>4</v>
      </c>
      <c r="B5" s="30">
        <v>50</v>
      </c>
      <c r="C5" s="26" t="s">
        <v>79</v>
      </c>
      <c r="E5" s="2"/>
    </row>
    <row r="6" spans="1:14">
      <c r="A6" s="26" t="s">
        <v>5</v>
      </c>
      <c r="B6" s="31">
        <v>1.5</v>
      </c>
      <c r="C6" s="27" t="s">
        <v>81</v>
      </c>
    </row>
    <row r="8" spans="1:14">
      <c r="B8" s="28" t="s">
        <v>250</v>
      </c>
      <c r="C8" s="2"/>
      <c r="D8" s="9" t="s">
        <v>120</v>
      </c>
      <c r="E8" s="9"/>
      <c r="F8" s="4" t="s">
        <v>122</v>
      </c>
      <c r="G8" s="4"/>
      <c r="H8" s="4" t="s">
        <v>124</v>
      </c>
      <c r="J8" s="1" t="s">
        <v>128</v>
      </c>
      <c r="L8" s="1" t="s">
        <v>130</v>
      </c>
      <c r="N8" s="1" t="s">
        <v>131</v>
      </c>
    </row>
    <row r="9" spans="1:14">
      <c r="D9" s="15">
        <f>IFERROR(1000000/(VLOOKUP($B$4,Norma!$A$8:$K$16,2,FALSE)*$B$5*$B$6*2*PI()),"")</f>
        <v>3433.7636050031365</v>
      </c>
      <c r="E9" s="11" t="s">
        <v>121</v>
      </c>
      <c r="F9" s="15">
        <f>IFERROR(1000000/(VLOOKUP($B$4,Norma!$A$8:$K$16,4,FALSE)*$B$5*$B$6*2*PI()),"")</f>
        <v>1061.032953945969</v>
      </c>
      <c r="G9" s="11" t="s">
        <v>123</v>
      </c>
      <c r="H9" s="15">
        <f>IFERROR(1000000/(VLOOKUP($B$4,Norma!$A$8:$K$16,6,FALSE)*$B$5*$B$6*2*PI()),"")</f>
        <v>3433.7636050031365</v>
      </c>
      <c r="I9" s="22" t="s">
        <v>127</v>
      </c>
      <c r="J9" s="15" t="str">
        <f>IFERROR(1000000/(VLOOKUP($B$4,Norma!$A$8:$K$16,8,FALSE)*$B$5*$B$6*2*PI()),"")</f>
        <v/>
      </c>
      <c r="K9" s="22" t="s">
        <v>129</v>
      </c>
      <c r="L9" s="15" t="str">
        <f>IFERROR(1000000/(VLOOKUP($B$4,Norma!$A$8:$K$16,10,FALSE)*$B$5*$B$6*2*PI()),"")</f>
        <v/>
      </c>
    </row>
    <row r="10" spans="1:14">
      <c r="D10" s="13" t="s">
        <v>125</v>
      </c>
      <c r="E10" s="83">
        <f>IFERROR($B$5/(VLOOKUP($B$4,Norma!$A$8:$K$16,3,FALSE)*$B$6*2*PI()),"")</f>
        <v>3.2788410196105344</v>
      </c>
      <c r="F10" s="60" t="s">
        <v>125</v>
      </c>
      <c r="G10" s="83">
        <f>IFERROR($B$5/(VLOOKUP($B$4,Norma!$A$8:$K$16,5,FALSE)*$B$6*2*PI()),"")</f>
        <v>3.2788410196105344</v>
      </c>
      <c r="H10" s="60" t="s">
        <v>125</v>
      </c>
      <c r="I10" s="83" t="str">
        <f>IFERROR($B$5/(VLOOKUP($B$4,Norma!$A$8:$K$16,7,FALSE)*$B$6*2*PI()),"")</f>
        <v/>
      </c>
      <c r="J10" s="60" t="s">
        <v>125</v>
      </c>
      <c r="K10" s="83" t="str">
        <f>IFERROR($B$5/(VLOOKUP($B$4,Norma!$A$8:$K$16,9,FALSE)*$B$6*2*PI()),"")</f>
        <v/>
      </c>
      <c r="L10" s="24" t="s">
        <v>1</v>
      </c>
    </row>
    <row r="11" spans="1:14">
      <c r="E11" s="3" t="s">
        <v>126</v>
      </c>
      <c r="G11" s="3" t="s">
        <v>126</v>
      </c>
      <c r="I11" s="3" t="s">
        <v>126</v>
      </c>
      <c r="K11" s="3" t="s">
        <v>126</v>
      </c>
    </row>
    <row r="13" spans="1:14">
      <c r="B13" s="29" t="s">
        <v>260</v>
      </c>
      <c r="D13" s="9" t="s">
        <v>22</v>
      </c>
      <c r="E13" s="9"/>
      <c r="F13" s="4" t="s">
        <v>24</v>
      </c>
      <c r="G13" s="4"/>
      <c r="H13" s="4" t="s">
        <v>26</v>
      </c>
      <c r="J13" s="1" t="s">
        <v>28</v>
      </c>
      <c r="L13" s="1" t="s">
        <v>30</v>
      </c>
    </row>
    <row r="14" spans="1:14">
      <c r="D14" s="15">
        <f>IFERROR(1000000/(VLOOKUP($B$4,Norma!$A$19:$J$22,2,FALSE)*$B$5*$B$6*2*PI()),"")</f>
        <v>2172.0224236355557</v>
      </c>
      <c r="E14" s="11" t="s">
        <v>23</v>
      </c>
      <c r="F14" s="15">
        <f>IFERROR(1000000/(VLOOKUP($B$4,Norma!$A$19:$J$22,4,FALSE)*$B$5*$B$6*2*PI()),"")</f>
        <v>1041.7603867903476</v>
      </c>
      <c r="G14" s="11" t="s">
        <v>25</v>
      </c>
      <c r="H14" s="15">
        <f>IFERROR(1000000/(VLOOKUP($B$4,Norma!$A$19:$J$22,6,FALSE)*$B$5*$B$6*2*PI()),"")</f>
        <v>2172.0224236355557</v>
      </c>
      <c r="I14" s="22" t="s">
        <v>27</v>
      </c>
      <c r="J14" s="15" t="str">
        <f>IFERROR(1000000/(VLOOKUP($B$4,Norma!$A$19:$J$22,8,FALSE)*$B$5*$B$6*2*PI()),"")</f>
        <v/>
      </c>
      <c r="K14" s="22" t="s">
        <v>29</v>
      </c>
      <c r="L14" s="15" t="str">
        <f>IFERROR(1000000/(VLOOKUP($B$4,Norma!$A$19:$J$22,10,FALSE)*$B$5*$B$6*2*PI()),"")</f>
        <v/>
      </c>
    </row>
    <row r="15" spans="1:14">
      <c r="D15" s="13" t="s">
        <v>1</v>
      </c>
      <c r="E15" s="83">
        <f>IFERROR($B$5/(VLOOKUP($B$4,Norma!$A$19:$J$22,3,FALSE)*$B$6*2*PI()),"")</f>
        <v>3.148465738712074</v>
      </c>
      <c r="F15" s="60" t="s">
        <v>1</v>
      </c>
      <c r="G15" s="83">
        <f>IFERROR($B$5/(VLOOKUP($B$4,Norma!$A$19:$J$22,5,FALSE)*$B$6*2*PI()),"")</f>
        <v>3.148465738712074</v>
      </c>
      <c r="H15" s="60" t="s">
        <v>1</v>
      </c>
      <c r="I15" s="83" t="str">
        <f>IFERROR($B$5/(VLOOKUP($B$4,Norma!$A$19:$J$22,7,FALSE)*$B$6*2*PI()),"")</f>
        <v/>
      </c>
      <c r="J15" s="60" t="s">
        <v>1</v>
      </c>
      <c r="K15" s="83" t="str">
        <f>IFERROR($B$5/(VLOOKUP($B$4,Norma!$A$19:$J$22,9,FALSE)*$B$6*2*PI()),"")</f>
        <v/>
      </c>
      <c r="L15" s="24" t="s">
        <v>1</v>
      </c>
    </row>
    <row r="16" spans="1:14">
      <c r="E16" s="3" t="s">
        <v>126</v>
      </c>
      <c r="G16" s="3" t="s">
        <v>126</v>
      </c>
      <c r="I16" s="3" t="s">
        <v>126</v>
      </c>
      <c r="K16" s="3" t="s">
        <v>126</v>
      </c>
    </row>
    <row r="17" spans="2:14">
      <c r="N17" s="1" t="s">
        <v>132</v>
      </c>
    </row>
    <row r="18" spans="2:14">
      <c r="B18" s="29" t="s">
        <v>261</v>
      </c>
      <c r="D18" s="9" t="s">
        <v>22</v>
      </c>
      <c r="E18" s="9"/>
      <c r="F18" s="4" t="s">
        <v>24</v>
      </c>
      <c r="G18" s="4"/>
      <c r="H18" s="4" t="s">
        <v>26</v>
      </c>
      <c r="J18" s="1" t="s">
        <v>28</v>
      </c>
      <c r="L18" s="1" t="s">
        <v>30</v>
      </c>
    </row>
    <row r="19" spans="2:14">
      <c r="D19" s="15">
        <f>IFERROR(1000000/(VLOOKUP($B$4,Norma!$A$25:$J$28,2,FALSE)*$B$5*$B$6*2*PI()),"")</f>
        <v>1807.5518806575283</v>
      </c>
      <c r="E19" s="11" t="s">
        <v>23</v>
      </c>
      <c r="F19" s="15">
        <f>IFERROR(1000000/(VLOOKUP($B$4,Norma!$A$25:$J$28,4,FALSE)*$B$5*$B$6*2*PI()),"")</f>
        <v>987.4666858501339</v>
      </c>
      <c r="G19" s="11" t="s">
        <v>25</v>
      </c>
      <c r="H19" s="15">
        <f>IFERROR(1000000/(VLOOKUP($B$4,Norma!$A$25:$J$28,6,FALSE)*$B$5*$B$6*2*PI()),"")</f>
        <v>1807.5518806575283</v>
      </c>
      <c r="I19" s="22" t="s">
        <v>27</v>
      </c>
      <c r="J19" s="15" t="str">
        <f>IFERROR(1000000/(VLOOKUP($B$4,Norma!$A$25:$J$28,8,FALSE)*$B$5*$B$6*2*PI()),"")</f>
        <v/>
      </c>
      <c r="K19" s="22" t="s">
        <v>29</v>
      </c>
      <c r="L19" s="15" t="str">
        <f>IFERROR(1000000/(VLOOKUP($B$4,Norma!$A$25:$J$28,10,FALSE)*$B$5*$B$6*2*PI()),"")</f>
        <v/>
      </c>
    </row>
    <row r="20" spans="2:14">
      <c r="D20" s="13" t="s">
        <v>1</v>
      </c>
      <c r="E20" s="83">
        <f>IFERROR($B$5/(VLOOKUP($B$4,Norma!$A$25:$J$28,3,FALSE)*$B$6*2*PI()),"")</f>
        <v>3.2828989911694579</v>
      </c>
      <c r="F20" s="60" t="s">
        <v>1</v>
      </c>
      <c r="G20" s="83">
        <f>IFERROR($B$5/(VLOOKUP($B$4,Norma!$A$25:$J$28,5,FALSE)*$B$6*2*PI()),"")</f>
        <v>3.2828989911694579</v>
      </c>
      <c r="H20" s="60" t="s">
        <v>1</v>
      </c>
      <c r="I20" s="83" t="str">
        <f>IFERROR($B$5/(VLOOKUP($B$4,Norma!$A$25:$J$28,7,FALSE)*$B$6*2*PI()),"")</f>
        <v/>
      </c>
      <c r="J20" s="60" t="s">
        <v>1</v>
      </c>
      <c r="K20" s="83" t="str">
        <f>IFERROR($B$5/(VLOOKUP($B$4,Norma!$A$25:$J$28,9,FALSE)*$B$6*2*PI()),"")</f>
        <v/>
      </c>
      <c r="L20" s="24" t="s">
        <v>1</v>
      </c>
    </row>
    <row r="21" spans="2:14">
      <c r="E21" s="3" t="s">
        <v>126</v>
      </c>
      <c r="G21" s="3" t="s">
        <v>126</v>
      </c>
      <c r="I21" s="3" t="s">
        <v>126</v>
      </c>
      <c r="K21" s="3" t="s">
        <v>126</v>
      </c>
    </row>
    <row r="23" spans="2:14">
      <c r="B23" s="29" t="s">
        <v>262</v>
      </c>
      <c r="D23" s="9" t="s">
        <v>22</v>
      </c>
      <c r="E23" s="9"/>
      <c r="F23" s="4" t="s">
        <v>24</v>
      </c>
      <c r="G23" s="4"/>
      <c r="H23" s="4" t="s">
        <v>26</v>
      </c>
      <c r="J23" s="1" t="s">
        <v>28</v>
      </c>
      <c r="L23" s="1" t="s">
        <v>30</v>
      </c>
    </row>
    <row r="24" spans="2:14">
      <c r="D24" s="15">
        <f>IFERROR(1000000/(VLOOKUP($B$4,Norma!$A$31:$J$34,2,FALSE)*$B$5*$B$6*2*PI()),"")</f>
        <v>1441.6208613396318</v>
      </c>
      <c r="E24" s="11" t="s">
        <v>23</v>
      </c>
      <c r="F24" s="15">
        <f>IFERROR(1000000/(VLOOKUP($B$4,Norma!$A$31:$J$34,4,FALSE)*$B$5*$B$6*2*PI()),"")</f>
        <v>891.24985631748757</v>
      </c>
      <c r="G24" s="11" t="s">
        <v>25</v>
      </c>
      <c r="H24" s="15">
        <f>IFERROR(1000000/(VLOOKUP($B$4,Norma!$A$31:$J$34,6,FALSE)*$B$5*$B$6*2*PI()),"")</f>
        <v>1441.6208613396318</v>
      </c>
      <c r="I24" s="22" t="s">
        <v>27</v>
      </c>
      <c r="J24" s="15" t="str">
        <f>IFERROR(1000000/(VLOOKUP($B$4,Norma!$A$31:$J$34,8,FALSE)*$B$5*$B$6*2*PI()),"")</f>
        <v/>
      </c>
      <c r="K24" s="22" t="s">
        <v>29</v>
      </c>
      <c r="L24" s="15" t="str">
        <f>IFERROR(1000000/(VLOOKUP($B$4,Norma!$A$31:$J$34,10,FALSE)*$B$5*$B$6*2*PI()),"")</f>
        <v/>
      </c>
    </row>
    <row r="25" spans="2:14">
      <c r="D25" s="13" t="s">
        <v>1</v>
      </c>
      <c r="E25" s="83">
        <f>IFERROR($B$5/(VLOOKUP($B$4,Norma!$A$31:$J$34,3,FALSE)*$B$6*2*PI()),"")</f>
        <v>3.6089556256665611</v>
      </c>
      <c r="F25" s="60" t="s">
        <v>1</v>
      </c>
      <c r="G25" s="83">
        <f>IFERROR($B$5/(VLOOKUP($B$4,Norma!$A$31:$J$34,5,FALSE)*$B$6*2*PI()),"")</f>
        <v>3.6089556256665611</v>
      </c>
      <c r="H25" s="60" t="s">
        <v>1</v>
      </c>
      <c r="I25" s="83" t="str">
        <f>IFERROR($B$5/(VLOOKUP($B$4,Norma!$A$31:$J$34,7,FALSE)*$B$6*2*PI()),"")</f>
        <v/>
      </c>
      <c r="J25" s="60" t="s">
        <v>1</v>
      </c>
      <c r="K25" s="83" t="str">
        <f>IFERROR($B$5/(VLOOKUP($B$4,Norma!$A$31:$J$34,9,FALSE)*$B$6*2*PI()),"")</f>
        <v/>
      </c>
      <c r="L25" s="24" t="s">
        <v>1</v>
      </c>
    </row>
    <row r="26" spans="2:14">
      <c r="E26" s="3" t="s">
        <v>126</v>
      </c>
      <c r="G26" s="3" t="s">
        <v>126</v>
      </c>
      <c r="I26" s="3" t="s">
        <v>126</v>
      </c>
      <c r="K26" s="3" t="s">
        <v>126</v>
      </c>
    </row>
  </sheetData>
  <sheetProtection algorithmName="SHA-512" hashValue="5Mx9BlbwXLAhYX8THfyf3g3vvjW/tVITkLggt9LtfpqsKK5dITCU3aStOuQ31RqWA8/JXNlI/KyHflOKZyZmTA==" saltValue="r/qRZ5Fh+rlzmfefKz8jDg==" spinCount="100000" sheet="1" objects="1" scenarios="1"/>
  <phoneticPr fontId="1"/>
  <pageMargins left="0.7" right="0.7" top="0.75" bottom="0.75" header="0.3" footer="0.3"/>
  <pageSetup paperSize="9" orientation="portrait" horizontalDpi="4294967293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4"/>
  <sheetViews>
    <sheetView workbookViewId="0">
      <selection activeCell="C1" sqref="C1"/>
    </sheetView>
  </sheetViews>
  <sheetFormatPr defaultRowHeight="13.5"/>
  <cols>
    <col min="1" max="1" width="17" style="34" customWidth="1"/>
    <col min="2" max="2" width="6.75" style="34" customWidth="1"/>
    <col min="3" max="3" width="5" style="34" customWidth="1"/>
    <col min="4" max="4" width="2.125" style="34" customWidth="1"/>
    <col min="5" max="5" width="1.5" style="34" customWidth="1"/>
    <col min="6" max="6" width="2.5" style="34" customWidth="1"/>
    <col min="7" max="7" width="1.875" style="34" customWidth="1"/>
    <col min="8" max="8" width="2.125" style="34" customWidth="1"/>
    <col min="9" max="9" width="9.625" style="34" customWidth="1"/>
    <col min="10" max="10" width="9.5" style="34" bestFit="1" customWidth="1"/>
    <col min="11" max="11" width="11.625" style="34" bestFit="1" customWidth="1"/>
    <col min="12" max="12" width="9.875" style="34" bestFit="1" customWidth="1"/>
    <col min="13" max="13" width="10.5" style="34" bestFit="1" customWidth="1"/>
    <col min="14" max="14" width="9.5" style="34" bestFit="1" customWidth="1"/>
    <col min="15" max="16" width="9.875" style="34" bestFit="1" customWidth="1"/>
    <col min="17" max="17" width="9.75" style="34" customWidth="1"/>
    <col min="18" max="18" width="9.25" style="34" customWidth="1"/>
    <col min="19" max="19" width="10" style="34" customWidth="1"/>
    <col min="20" max="20" width="10.125" style="34" customWidth="1"/>
    <col min="21" max="21" width="24" style="34" customWidth="1"/>
    <col min="22" max="22" width="9" style="34"/>
    <col min="23" max="23" width="9.75" style="34" customWidth="1"/>
    <col min="24" max="25" width="9.5" style="34" customWidth="1"/>
    <col min="26" max="16384" width="9" style="34"/>
  </cols>
  <sheetData>
    <row r="1" spans="1:37">
      <c r="A1" s="85" t="s">
        <v>4</v>
      </c>
      <c r="B1" s="84">
        <v>100</v>
      </c>
      <c r="C1" s="86" t="s">
        <v>36</v>
      </c>
    </row>
    <row r="2" spans="1:37" ht="18.75">
      <c r="A2" s="85" t="s">
        <v>32</v>
      </c>
      <c r="B2" s="84">
        <v>3.65</v>
      </c>
      <c r="C2" s="86" t="s">
        <v>35</v>
      </c>
      <c r="H2" s="87" t="s">
        <v>66</v>
      </c>
      <c r="N2" s="56"/>
    </row>
    <row r="3" spans="1:37">
      <c r="A3" s="85" t="s">
        <v>33</v>
      </c>
      <c r="B3" s="84">
        <v>0.5</v>
      </c>
      <c r="C3" s="86" t="s">
        <v>34</v>
      </c>
      <c r="K3" s="34" t="s">
        <v>264</v>
      </c>
      <c r="N3" s="56"/>
    </row>
    <row r="4" spans="1:37" ht="14.25">
      <c r="N4" s="56"/>
      <c r="R4" s="45" t="s">
        <v>299</v>
      </c>
      <c r="W4" s="40" t="s">
        <v>287</v>
      </c>
      <c r="X4" s="40" t="s">
        <v>298</v>
      </c>
      <c r="Y4" s="40" t="s">
        <v>286</v>
      </c>
      <c r="AC4" s="45"/>
    </row>
    <row r="5" spans="1:37">
      <c r="A5" s="88" t="s">
        <v>37</v>
      </c>
      <c r="B5" s="40">
        <f>SQRT((B2+B3/2)*(B2-B3/2))</f>
        <v>3.6414282912066249</v>
      </c>
      <c r="C5" s="40" t="s">
        <v>134</v>
      </c>
      <c r="D5" s="40"/>
      <c r="E5" s="40"/>
      <c r="F5" s="40"/>
      <c r="G5" s="40"/>
      <c r="H5" s="40"/>
      <c r="R5" s="88" t="s">
        <v>293</v>
      </c>
      <c r="S5" s="40">
        <f>SQRT(J9/K8)</f>
        <v>9.7091954672577183E-2</v>
      </c>
      <c r="T5" s="40" t="s">
        <v>295</v>
      </c>
      <c r="U5" s="40">
        <f>L8*2</f>
        <v>60.013176128165675</v>
      </c>
      <c r="V5" s="40"/>
      <c r="W5" s="40">
        <f>U5*(S5-1)/S5</f>
        <v>-558.0934046956304</v>
      </c>
      <c r="X5" s="40">
        <f>U5/S5</f>
        <v>618.10658082379609</v>
      </c>
      <c r="Y5" s="40">
        <f>-(S5-1)*U5/S5^2</f>
        <v>5748.0911428520167</v>
      </c>
    </row>
    <row r="6" spans="1:37">
      <c r="A6" s="40"/>
      <c r="B6" s="40"/>
      <c r="C6" s="40"/>
      <c r="D6" s="40"/>
      <c r="E6" s="40"/>
      <c r="F6" s="40"/>
      <c r="G6" s="40"/>
      <c r="H6" s="40"/>
      <c r="K6" s="34" t="s">
        <v>47</v>
      </c>
      <c r="T6" s="56" t="s">
        <v>298</v>
      </c>
      <c r="V6" s="56" t="s">
        <v>288</v>
      </c>
      <c r="X6" s="56" t="s">
        <v>301</v>
      </c>
      <c r="AE6" s="56"/>
      <c r="AG6" s="56"/>
      <c r="AI6" s="56"/>
    </row>
    <row r="7" spans="1:37">
      <c r="A7" s="40"/>
      <c r="B7" s="40"/>
      <c r="C7" s="40"/>
      <c r="D7" s="40"/>
      <c r="E7" s="40"/>
      <c r="F7" s="40"/>
      <c r="G7" s="40"/>
      <c r="H7" s="40"/>
      <c r="I7" s="34" t="s">
        <v>46</v>
      </c>
      <c r="K7" s="56" t="s">
        <v>45</v>
      </c>
      <c r="L7" s="56" t="s">
        <v>43</v>
      </c>
      <c r="M7" s="34" t="s">
        <v>46</v>
      </c>
      <c r="R7" s="56" t="s">
        <v>288</v>
      </c>
      <c r="S7" s="56" t="s">
        <v>287</v>
      </c>
      <c r="T7" s="89">
        <f>U5/S5</f>
        <v>618.10658082379609</v>
      </c>
      <c r="U7" s="56" t="s">
        <v>286</v>
      </c>
      <c r="V7" s="90">
        <f>R8</f>
        <v>600.13176128165674</v>
      </c>
      <c r="W7" s="56" t="s">
        <v>300</v>
      </c>
      <c r="X7" s="89">
        <f>U5/S5</f>
        <v>618.10658082379609</v>
      </c>
      <c r="Y7" s="56" t="s">
        <v>291</v>
      </c>
      <c r="Z7" s="56" t="s">
        <v>288</v>
      </c>
      <c r="AC7" s="56"/>
      <c r="AD7" s="56"/>
      <c r="AF7" s="56"/>
      <c r="AH7" s="56"/>
      <c r="AJ7" s="56"/>
      <c r="AK7" s="56"/>
    </row>
    <row r="8" spans="1:37">
      <c r="A8" s="40"/>
      <c r="B8" s="40"/>
      <c r="C8" s="40" t="s">
        <v>39</v>
      </c>
      <c r="D8" s="40"/>
      <c r="E8" s="40"/>
      <c r="F8" s="40"/>
      <c r="G8" s="40"/>
      <c r="H8" s="40"/>
      <c r="I8" s="56" t="s">
        <v>41</v>
      </c>
      <c r="J8" s="56" t="s">
        <v>42</v>
      </c>
      <c r="K8" s="91">
        <f>C9</f>
        <v>63661.977236758139</v>
      </c>
      <c r="L8" s="92">
        <f>1000000000/((2*PI()*$B$5)^2*K8)</f>
        <v>30.006588064082838</v>
      </c>
      <c r="M8" s="56" t="s">
        <v>44</v>
      </c>
      <c r="N8" s="56" t="s">
        <v>42</v>
      </c>
      <c r="R8" s="93">
        <f>J9</f>
        <v>600.13176128165674</v>
      </c>
      <c r="S8" s="94">
        <f>I9+U5*(S5-1)/S5</f>
        <v>2625.0054571422761</v>
      </c>
      <c r="T8" s="23" t="s">
        <v>296</v>
      </c>
      <c r="U8" s="89">
        <f>-U5*(S5-1)/S5^2</f>
        <v>5748.0911428520167</v>
      </c>
      <c r="V8" s="23" t="s">
        <v>297</v>
      </c>
      <c r="W8" s="89">
        <f>-(S5-1)*U5/S5^2</f>
        <v>5748.0911428520167</v>
      </c>
      <c r="X8" s="23" t="s">
        <v>296</v>
      </c>
      <c r="Y8" s="94">
        <f>M9+U5*(S5-1)/S5</f>
        <v>2625.0054571422761</v>
      </c>
      <c r="Z8" s="93">
        <f>N9</f>
        <v>600.13176128165674</v>
      </c>
    </row>
    <row r="9" spans="1:37">
      <c r="A9" s="40"/>
      <c r="B9" s="40" t="s">
        <v>38</v>
      </c>
      <c r="C9" s="40">
        <f>VLOOKUP(3,Norma!$A$8:$K$16,3,FALSE)*1000*$B$1/(2*PI()*$B$3)</f>
        <v>63661.977236758139</v>
      </c>
      <c r="D9" s="40" t="s">
        <v>40</v>
      </c>
      <c r="E9" s="40"/>
      <c r="F9" s="40"/>
      <c r="G9" s="40"/>
      <c r="H9" s="40"/>
      <c r="I9" s="92">
        <f>B10</f>
        <v>3183.0988618379065</v>
      </c>
      <c r="J9" s="91">
        <f>1000000000/((2*PI()*$B$5)^2*I9)</f>
        <v>600.13176128165674</v>
      </c>
      <c r="K9" s="23" t="s">
        <v>0</v>
      </c>
      <c r="L9" s="23" t="s">
        <v>1</v>
      </c>
      <c r="M9" s="92">
        <f>D10</f>
        <v>3183.0988618379065</v>
      </c>
      <c r="N9" s="91">
        <f>1000000000/((2*PI()*$B$5)^2*M9)</f>
        <v>600.13176128165674</v>
      </c>
      <c r="R9" s="23" t="s">
        <v>297</v>
      </c>
      <c r="S9" s="23" t="s">
        <v>296</v>
      </c>
      <c r="U9" s="23" t="s">
        <v>296</v>
      </c>
      <c r="W9" s="23" t="s">
        <v>296</v>
      </c>
      <c r="Y9" s="23" t="s">
        <v>296</v>
      </c>
      <c r="Z9" s="23" t="s">
        <v>297</v>
      </c>
    </row>
    <row r="10" spans="1:37">
      <c r="A10" s="40"/>
      <c r="B10" s="40">
        <f>VLOOKUP(3,Norma!$A$8:$K$16,2,FALSE)*1000000/($B$1*2*PI()*$B$3)</f>
        <v>3183.0988618379065</v>
      </c>
      <c r="C10" s="40"/>
      <c r="D10" s="40">
        <f>VLOOKUP(3,Norma!$A$8:$K$16,4,FALSE)*1000000/($B$1*2*PI()*$B$3)</f>
        <v>3183.0988618379065</v>
      </c>
      <c r="E10" s="40"/>
      <c r="F10" s="40"/>
      <c r="G10" s="40"/>
      <c r="H10" s="40"/>
      <c r="I10" s="23" t="s">
        <v>1</v>
      </c>
      <c r="J10" s="23" t="s">
        <v>0</v>
      </c>
      <c r="M10" s="23" t="s">
        <v>1</v>
      </c>
      <c r="N10" s="23" t="s">
        <v>0</v>
      </c>
    </row>
    <row r="11" spans="1:37">
      <c r="A11" s="40"/>
      <c r="B11" s="40"/>
      <c r="C11" s="40"/>
      <c r="D11" s="40"/>
      <c r="E11" s="40"/>
      <c r="F11" s="40"/>
      <c r="G11" s="40"/>
      <c r="H11" s="40"/>
    </row>
    <row r="12" spans="1:37">
      <c r="A12" s="40"/>
      <c r="B12" s="40"/>
      <c r="C12" s="40"/>
      <c r="D12" s="40"/>
      <c r="E12" s="40"/>
      <c r="F12" s="40"/>
      <c r="G12" s="40"/>
      <c r="H12" s="40"/>
    </row>
    <row r="13" spans="1:37">
      <c r="A13" s="40"/>
      <c r="B13" s="40"/>
      <c r="C13" s="40"/>
      <c r="D13" s="40"/>
      <c r="E13" s="40"/>
      <c r="F13" s="40"/>
      <c r="G13" s="40"/>
      <c r="H13" s="40"/>
    </row>
    <row r="14" spans="1:37">
      <c r="A14" s="40"/>
      <c r="B14" s="40"/>
      <c r="C14" s="40"/>
      <c r="D14" s="40"/>
      <c r="E14" s="40"/>
      <c r="F14" s="40"/>
      <c r="G14" s="40"/>
      <c r="H14" s="40"/>
      <c r="Q14" s="56"/>
    </row>
    <row r="15" spans="1:37">
      <c r="A15" s="40"/>
      <c r="B15" s="40"/>
      <c r="C15" s="40"/>
      <c r="D15" s="40"/>
      <c r="E15" s="40"/>
      <c r="F15" s="40"/>
      <c r="G15" s="40"/>
      <c r="H15" s="40"/>
      <c r="Q15" s="56"/>
    </row>
    <row r="16" spans="1:37">
      <c r="A16" s="40"/>
      <c r="B16" s="40" t="s">
        <v>48</v>
      </c>
      <c r="C16" s="40"/>
      <c r="D16" s="40" t="s">
        <v>50</v>
      </c>
      <c r="E16" s="40"/>
      <c r="F16" s="40"/>
      <c r="G16" s="40"/>
      <c r="H16" s="40"/>
      <c r="Q16" s="56"/>
    </row>
    <row r="17" spans="1:28">
      <c r="A17" s="40"/>
      <c r="B17" s="40">
        <f>VLOOKUP(3,Norma!$A$8:$K$16,2,FALSE)*1000*$B$1/(2*PI()*$B$3)</f>
        <v>31830.98861837907</v>
      </c>
      <c r="C17" s="40" t="s">
        <v>49</v>
      </c>
      <c r="D17" s="40">
        <f>VLOOKUP(3,Norma!$A$8:$K$16,4,FALSE)*1000*$B$1/(2*PI()*$B$3)</f>
        <v>31830.98861837907</v>
      </c>
      <c r="E17" s="40"/>
      <c r="F17" s="40"/>
      <c r="G17" s="40"/>
      <c r="H17" s="40"/>
    </row>
    <row r="18" spans="1:28">
      <c r="A18" s="40"/>
      <c r="B18" s="46" t="s">
        <v>58</v>
      </c>
      <c r="C18" s="40">
        <f>VLOOKUP(3,Norma!$A$8:$K$16,3,FALSE)*1000000/($B$1*2*PI()*$B$3)</f>
        <v>6366.197723675813</v>
      </c>
      <c r="D18" s="46" t="s">
        <v>58</v>
      </c>
      <c r="E18" s="40"/>
      <c r="F18" s="40"/>
      <c r="G18" s="40"/>
      <c r="H18" s="40"/>
    </row>
    <row r="19" spans="1:28">
      <c r="A19" s="40"/>
      <c r="B19" s="40"/>
      <c r="C19" s="46" t="s">
        <v>59</v>
      </c>
      <c r="D19" s="40"/>
      <c r="E19" s="40"/>
      <c r="F19" s="40"/>
      <c r="G19" s="40"/>
      <c r="H19" s="40"/>
    </row>
    <row r="20" spans="1:28" ht="17.25">
      <c r="A20" s="40"/>
      <c r="B20" s="40"/>
      <c r="C20" s="40"/>
      <c r="D20" s="40"/>
      <c r="E20" s="40"/>
      <c r="F20" s="40"/>
      <c r="G20" s="40"/>
      <c r="H20" s="40"/>
      <c r="I20" s="34" t="s">
        <v>57</v>
      </c>
      <c r="M20" s="34" t="s">
        <v>57</v>
      </c>
      <c r="U20" s="97" t="s">
        <v>312</v>
      </c>
      <c r="Y20" s="45"/>
    </row>
    <row r="21" spans="1:28">
      <c r="A21" s="40"/>
      <c r="B21" s="40"/>
      <c r="C21" s="40"/>
      <c r="D21" s="40"/>
      <c r="E21" s="40"/>
      <c r="F21" s="40"/>
      <c r="G21" s="40"/>
      <c r="H21" s="40"/>
      <c r="I21" s="56" t="s">
        <v>51</v>
      </c>
      <c r="J21" s="56" t="s">
        <v>52</v>
      </c>
      <c r="K21" s="34" t="s">
        <v>46</v>
      </c>
      <c r="M21" s="56" t="s">
        <v>55</v>
      </c>
      <c r="N21" s="56" t="s">
        <v>56</v>
      </c>
      <c r="Y21" s="56"/>
      <c r="AB21" s="56"/>
    </row>
    <row r="22" spans="1:28">
      <c r="A22" s="40"/>
      <c r="B22" s="40"/>
      <c r="C22" s="40"/>
      <c r="D22" s="40"/>
      <c r="E22" s="40"/>
      <c r="F22" s="40"/>
      <c r="G22" s="40"/>
      <c r="H22" s="40"/>
      <c r="I22" s="91">
        <f>B17</f>
        <v>31830.98861837907</v>
      </c>
      <c r="J22" s="92">
        <f>1000000000/((2*PI()*$B$5)^2*B17)</f>
        <v>60.013176128165675</v>
      </c>
      <c r="K22" s="56" t="s">
        <v>53</v>
      </c>
      <c r="L22" s="56" t="s">
        <v>54</v>
      </c>
      <c r="M22" s="91">
        <f>D17</f>
        <v>31830.98861837907</v>
      </c>
      <c r="N22" s="92">
        <f>1000000000/((2*PI()*$B$5)^2*M22)</f>
        <v>60.013176128165675</v>
      </c>
      <c r="U22" s="107" t="s">
        <v>313</v>
      </c>
      <c r="V22" s="114">
        <v>100</v>
      </c>
      <c r="W22" s="107" t="s">
        <v>79</v>
      </c>
      <c r="X22" s="108" t="s">
        <v>314</v>
      </c>
      <c r="Y22" s="111">
        <f>IF(V22&gt;V23,V24*Y23/(Y23-V24),"NG")</f>
        <v>8962.3106012293738</v>
      </c>
      <c r="Z22" s="107" t="s">
        <v>102</v>
      </c>
    </row>
    <row r="23" spans="1:28">
      <c r="A23" s="40"/>
      <c r="B23" s="40"/>
      <c r="C23" s="40"/>
      <c r="D23" s="40"/>
      <c r="E23" s="40"/>
      <c r="F23" s="40"/>
      <c r="G23" s="40"/>
      <c r="H23" s="40"/>
      <c r="I23" s="23" t="s">
        <v>58</v>
      </c>
      <c r="J23" s="23" t="s">
        <v>59</v>
      </c>
      <c r="K23" s="92">
        <f>C18</f>
        <v>6366.197723675813</v>
      </c>
      <c r="L23" s="91">
        <f>1000000000/((2*PI()*$B$5)^2*K23)</f>
        <v>300.06588064082837</v>
      </c>
      <c r="M23" s="23" t="s">
        <v>58</v>
      </c>
      <c r="N23" s="23" t="s">
        <v>59</v>
      </c>
      <c r="U23" s="107" t="s">
        <v>318</v>
      </c>
      <c r="V23" s="114">
        <v>50</v>
      </c>
      <c r="W23" s="107" t="s">
        <v>79</v>
      </c>
      <c r="X23" s="108" t="s">
        <v>315</v>
      </c>
      <c r="Y23" s="111">
        <f>IF(V22&gt;V23,V24*SQRT(V22/V23),"NG")</f>
        <v>3712.3106012293747</v>
      </c>
      <c r="Z23" s="109" t="s">
        <v>102</v>
      </c>
    </row>
    <row r="24" spans="1:28">
      <c r="A24" s="40"/>
      <c r="B24" s="40"/>
      <c r="C24" s="40" t="s">
        <v>61</v>
      </c>
      <c r="D24" s="40"/>
      <c r="E24" s="40" t="s">
        <v>63</v>
      </c>
      <c r="F24" s="40"/>
      <c r="G24" s="40"/>
      <c r="H24" s="40"/>
      <c r="K24" s="23" t="s">
        <v>59</v>
      </c>
      <c r="L24" s="23" t="s">
        <v>58</v>
      </c>
      <c r="U24" s="107" t="s">
        <v>316</v>
      </c>
      <c r="V24" s="114">
        <v>2625</v>
      </c>
      <c r="W24" s="107" t="s">
        <v>317</v>
      </c>
      <c r="X24" s="96" t="s">
        <v>322</v>
      </c>
      <c r="Y24" s="112">
        <f>10*LOG10(V23/V22)</f>
        <v>-3.0102999566398121</v>
      </c>
      <c r="Z24" s="107" t="s">
        <v>321</v>
      </c>
    </row>
    <row r="25" spans="1:28">
      <c r="A25" s="40"/>
      <c r="B25" s="40" t="s">
        <v>60</v>
      </c>
      <c r="C25" s="40">
        <f>VLOOKUP(5,Norma!$A$8:$K$16,3,FALSE)*1000*$B$1/(2*PI()*$B$3)</f>
        <v>51502.539584537335</v>
      </c>
      <c r="D25" s="40" t="s">
        <v>62</v>
      </c>
      <c r="E25" s="40">
        <f>VLOOKUP(5,Norma!$A$8:$K$16,5,FALSE)*1000*$B$1/(2*PI()*$B$3)</f>
        <v>51502.539584537335</v>
      </c>
      <c r="F25" s="40" t="s">
        <v>64</v>
      </c>
      <c r="G25" s="40"/>
      <c r="H25" s="40"/>
    </row>
    <row r="26" spans="1:28">
      <c r="A26" s="40"/>
      <c r="B26" s="40">
        <f>VLOOKUP(5,Norma!$A$8:$K$16,2,FALSE)*1000000/($B$1*2*PI()*$B$3)</f>
        <v>1967.1550966158263</v>
      </c>
      <c r="C26" s="46" t="s">
        <v>58</v>
      </c>
      <c r="D26" s="40">
        <f>VLOOKUP(5,Norma!$A$8:$K$16,4,FALSE)*1000000/($B$1*2*PI()*$B$3)</f>
        <v>6366.197723675813</v>
      </c>
      <c r="E26" s="46" t="s">
        <v>58</v>
      </c>
      <c r="F26" s="40">
        <f>VLOOKUP(5,Norma!$A$8:$K$16,6,FALSE)*1000000/($B$1*2*PI()*$B$3)</f>
        <v>1967.1550966158263</v>
      </c>
      <c r="G26" s="40"/>
      <c r="H26" s="40"/>
    </row>
    <row r="27" spans="1:28">
      <c r="A27" s="40"/>
      <c r="B27" s="46" t="s">
        <v>59</v>
      </c>
      <c r="C27" s="40"/>
      <c r="D27" s="46" t="s">
        <v>59</v>
      </c>
      <c r="E27" s="40"/>
      <c r="F27" s="46" t="s">
        <v>59</v>
      </c>
      <c r="G27" s="40"/>
      <c r="H27" s="40"/>
      <c r="K27" s="34" t="s">
        <v>57</v>
      </c>
      <c r="O27" s="34" t="s">
        <v>57</v>
      </c>
    </row>
    <row r="28" spans="1:28">
      <c r="A28" s="40"/>
      <c r="B28" s="40"/>
      <c r="C28" s="40"/>
      <c r="D28" s="40"/>
      <c r="E28" s="40"/>
      <c r="F28" s="40"/>
      <c r="G28" s="40"/>
      <c r="H28" s="40"/>
      <c r="I28" s="56" t="s">
        <v>65</v>
      </c>
      <c r="J28" s="56"/>
      <c r="K28" s="56" t="s">
        <v>61</v>
      </c>
      <c r="L28" s="56" t="s">
        <v>56</v>
      </c>
      <c r="M28" s="56" t="s">
        <v>65</v>
      </c>
      <c r="N28" s="56"/>
      <c r="O28" s="56" t="s">
        <v>63</v>
      </c>
      <c r="P28" s="56" t="s">
        <v>56</v>
      </c>
      <c r="Q28" s="56" t="s">
        <v>65</v>
      </c>
      <c r="R28" s="56"/>
    </row>
    <row r="29" spans="1:28">
      <c r="A29" s="40"/>
      <c r="B29" s="40"/>
      <c r="C29" s="40"/>
      <c r="D29" s="40"/>
      <c r="E29" s="40"/>
      <c r="F29" s="40"/>
      <c r="G29" s="40"/>
      <c r="H29" s="40"/>
      <c r="I29" s="56" t="s">
        <v>60</v>
      </c>
      <c r="J29" s="56" t="s">
        <v>54</v>
      </c>
      <c r="K29" s="106">
        <f>C25</f>
        <v>51502.539584537335</v>
      </c>
      <c r="L29" s="92">
        <f>1000000000/((2*PI()*$B$5)^2*K29)</f>
        <v>37.090961760300168</v>
      </c>
      <c r="M29" s="56" t="s">
        <v>62</v>
      </c>
      <c r="N29" s="56" t="s">
        <v>54</v>
      </c>
      <c r="O29" s="106">
        <f>E25</f>
        <v>51502.539584537335</v>
      </c>
      <c r="P29" s="92">
        <f>1000000000/((2*PI()*$B$5)^2*O29)</f>
        <v>37.090961760300168</v>
      </c>
      <c r="Q29" s="56" t="s">
        <v>64</v>
      </c>
      <c r="R29" s="56" t="s">
        <v>54</v>
      </c>
    </row>
    <row r="30" spans="1:28">
      <c r="A30" s="40"/>
      <c r="B30" s="40"/>
      <c r="C30" s="40"/>
      <c r="D30" s="40"/>
      <c r="E30" s="40"/>
      <c r="F30" s="40"/>
      <c r="G30" s="40"/>
      <c r="H30" s="40"/>
      <c r="I30" s="92">
        <f>B26</f>
        <v>1967.1550966158263</v>
      </c>
      <c r="J30" s="91">
        <f>1000000000/((2*PI()*$B$5)^2*I30)</f>
        <v>971.08699236514042</v>
      </c>
      <c r="K30" s="23" t="s">
        <v>58</v>
      </c>
      <c r="L30" s="23" t="s">
        <v>59</v>
      </c>
      <c r="M30" s="92">
        <f>D26</f>
        <v>6366.197723675813</v>
      </c>
      <c r="N30" s="91">
        <f>1000000000/((2*PI()*$B$5)^2*M30)</f>
        <v>300.06588064082837</v>
      </c>
      <c r="O30" s="23" t="s">
        <v>58</v>
      </c>
      <c r="P30" s="23" t="s">
        <v>59</v>
      </c>
      <c r="Q30" s="92">
        <f>F26</f>
        <v>1967.1550966158263</v>
      </c>
      <c r="R30" s="91">
        <f>1000000000/((2*PI()*$B$5)^2*Q30)</f>
        <v>971.08699236514042</v>
      </c>
    </row>
    <row r="31" spans="1:28">
      <c r="A31" s="40"/>
      <c r="B31" s="40"/>
      <c r="C31" s="40"/>
      <c r="D31" s="40"/>
      <c r="E31" s="40"/>
      <c r="F31" s="40"/>
      <c r="G31" s="40"/>
      <c r="H31" s="40"/>
      <c r="I31" s="23" t="s">
        <v>59</v>
      </c>
      <c r="J31" s="23" t="s">
        <v>58</v>
      </c>
      <c r="M31" s="69" t="s">
        <v>59</v>
      </c>
      <c r="N31" s="23" t="s">
        <v>58</v>
      </c>
      <c r="Q31" s="23" t="s">
        <v>59</v>
      </c>
      <c r="R31" s="23" t="s">
        <v>58</v>
      </c>
    </row>
    <row r="32" spans="1:28">
      <c r="A32" s="40"/>
      <c r="B32" s="40"/>
      <c r="C32" s="40" t="s">
        <v>61</v>
      </c>
      <c r="D32" s="40"/>
      <c r="E32" s="40" t="s">
        <v>63</v>
      </c>
      <c r="F32" s="40"/>
      <c r="G32" s="40" t="s">
        <v>67</v>
      </c>
      <c r="H32" s="40"/>
    </row>
    <row r="33" spans="1:22">
      <c r="A33" s="40"/>
      <c r="B33" s="40" t="s">
        <v>60</v>
      </c>
      <c r="C33" s="40">
        <f>VLOOKUP(7,Norma!$A$8:$K$16,3,FALSE)*1000*$B$1/(2*PI()*$B$3)</f>
        <v>39693.242807118695</v>
      </c>
      <c r="D33" s="40" t="s">
        <v>62</v>
      </c>
      <c r="E33" s="40">
        <f>VLOOKUP(7,Norma!$A$8:$K$16,5,FALSE)*1000*$B$1/(2*PI()*$B$3)</f>
        <v>63661.977236758139</v>
      </c>
      <c r="F33" s="40" t="s">
        <v>64</v>
      </c>
      <c r="G33" s="40">
        <f>VLOOKUP(7,Norma!$A$8:$K$16,7,FALSE)*1000*$B$1/(2*PI()*$B$3)</f>
        <v>39693.242807118695</v>
      </c>
      <c r="H33" s="40" t="s">
        <v>68</v>
      </c>
    </row>
    <row r="34" spans="1:22">
      <c r="A34" s="40"/>
      <c r="B34" s="40">
        <f>VLOOKUP(7,Norma!$A$8:$K$16,2,FALSE)*1000000/($B$1*2*PI()*$B$3)</f>
        <v>1416.4789935178685</v>
      </c>
      <c r="C34" s="46" t="s">
        <v>58</v>
      </c>
      <c r="D34" s="40">
        <f>VLOOKUP(7,Norma!$A$8:$K$16,4,FALSE)*1000000/($B$1*2*PI()*$B$3)</f>
        <v>5735.6258391457241</v>
      </c>
      <c r="E34" s="46" t="s">
        <v>58</v>
      </c>
      <c r="F34" s="40">
        <f>VLOOKUP(7,Norma!$A$8:$K$16,6,FALSE)*1000000/($B$1*2*PI()*$B$3)</f>
        <v>5735.6258391457241</v>
      </c>
      <c r="G34" s="46" t="s">
        <v>58</v>
      </c>
      <c r="H34" s="40">
        <f>VLOOKUP(7,Norma!$A$8:$K$16,8,FALSE)*1000000/($B$1*2*PI()*$B$3)</f>
        <v>1416.4789935178685</v>
      </c>
    </row>
    <row r="35" spans="1:22">
      <c r="A35" s="40"/>
      <c r="B35" s="46" t="s">
        <v>59</v>
      </c>
      <c r="C35" s="40"/>
      <c r="D35" s="46" t="s">
        <v>59</v>
      </c>
      <c r="E35" s="40"/>
      <c r="F35" s="46" t="s">
        <v>59</v>
      </c>
      <c r="G35" s="40"/>
      <c r="H35" s="46" t="s">
        <v>59</v>
      </c>
    </row>
    <row r="40" spans="1:22">
      <c r="K40" s="34" t="s">
        <v>57</v>
      </c>
      <c r="O40" s="34" t="s">
        <v>57</v>
      </c>
      <c r="S40" s="34" t="s">
        <v>57</v>
      </c>
    </row>
    <row r="41" spans="1:22">
      <c r="I41" s="34" t="s">
        <v>65</v>
      </c>
      <c r="K41" s="34" t="s">
        <v>61</v>
      </c>
      <c r="L41" s="34" t="s">
        <v>56</v>
      </c>
      <c r="M41" s="56" t="s">
        <v>65</v>
      </c>
      <c r="O41" s="34" t="s">
        <v>63</v>
      </c>
      <c r="P41" s="34" t="s">
        <v>56</v>
      </c>
      <c r="Q41" s="56" t="s">
        <v>65</v>
      </c>
      <c r="S41" s="34" t="s">
        <v>67</v>
      </c>
      <c r="T41" s="34" t="s">
        <v>56</v>
      </c>
      <c r="U41" s="56" t="s">
        <v>65</v>
      </c>
    </row>
    <row r="42" spans="1:22">
      <c r="I42" s="34" t="s">
        <v>60</v>
      </c>
      <c r="J42" s="34" t="s">
        <v>54</v>
      </c>
      <c r="K42" s="91">
        <f>C33</f>
        <v>39693.242807118695</v>
      </c>
      <c r="L42" s="95">
        <f>1000000000/((2*PI()*$B$5)^2*K42)</f>
        <v>48.126043406708646</v>
      </c>
      <c r="M42" s="34" t="s">
        <v>62</v>
      </c>
      <c r="N42" s="34" t="s">
        <v>54</v>
      </c>
      <c r="O42" s="91">
        <f>E33</f>
        <v>63661.977236758139</v>
      </c>
      <c r="P42" s="95">
        <f>1000000000/((2*PI()*$B$5)^2*O42)</f>
        <v>30.006588064082838</v>
      </c>
      <c r="Q42" s="34" t="s">
        <v>64</v>
      </c>
      <c r="R42" s="34" t="s">
        <v>54</v>
      </c>
      <c r="S42" s="91">
        <f>G33</f>
        <v>39693.242807118695</v>
      </c>
      <c r="T42" s="95">
        <f>1000000000/((2*PI()*$B$5)^2*S42)</f>
        <v>48.126043406708646</v>
      </c>
      <c r="U42" s="34" t="s">
        <v>68</v>
      </c>
      <c r="V42" s="34" t="s">
        <v>54</v>
      </c>
    </row>
    <row r="43" spans="1:22">
      <c r="I43" s="95">
        <f>B34</f>
        <v>1416.4789935178685</v>
      </c>
      <c r="J43" s="91">
        <f>1000000000/((2*PI()*$B$5)^2*I43)</f>
        <v>1348.610699509341</v>
      </c>
      <c r="K43" s="23" t="s">
        <v>58</v>
      </c>
      <c r="L43" s="23" t="s">
        <v>59</v>
      </c>
      <c r="M43" s="95">
        <f>D34</f>
        <v>5735.6258391457241</v>
      </c>
      <c r="N43" s="91">
        <f>1000000000/((2*PI()*$B$5)^2*M43)</f>
        <v>333.05497601512667</v>
      </c>
      <c r="O43" s="23" t="s">
        <v>58</v>
      </c>
      <c r="P43" s="23" t="s">
        <v>59</v>
      </c>
      <c r="Q43" s="95">
        <f>F34</f>
        <v>5735.6258391457241</v>
      </c>
      <c r="R43" s="91">
        <f>1000000000/((2*PI()*$B$5)^2*Q43)</f>
        <v>333.05497601512667</v>
      </c>
      <c r="S43" s="23" t="s">
        <v>58</v>
      </c>
      <c r="T43" s="23" t="s">
        <v>59</v>
      </c>
      <c r="U43" s="95">
        <f>H34</f>
        <v>1416.4789935178685</v>
      </c>
      <c r="V43" s="91">
        <f>1000000000/((2*PI()*$B$5)^2*U43)</f>
        <v>1348.610699509341</v>
      </c>
    </row>
    <row r="44" spans="1:22">
      <c r="I44" s="23" t="s">
        <v>59</v>
      </c>
      <c r="J44" s="23" t="s">
        <v>58</v>
      </c>
      <c r="M44" s="23" t="s">
        <v>59</v>
      </c>
      <c r="N44" s="23" t="s">
        <v>58</v>
      </c>
      <c r="Q44" s="23" t="s">
        <v>59</v>
      </c>
      <c r="R44" s="23" t="s">
        <v>58</v>
      </c>
      <c r="U44" s="23" t="s">
        <v>59</v>
      </c>
      <c r="V44" s="23" t="s">
        <v>58</v>
      </c>
    </row>
  </sheetData>
  <sheetProtection algorithmName="SHA-512" hashValue="04ELW/91m1rNHfda8MqBOOQGhP5lvqpb6NI7/0rBuC1iq0JgIbhhga2HLe5tIBb2P9LjPkWY4nFe+6DpwqR7Yg==" saltValue="Ut7lRrlltXWO0s8hz9/yIg==" spinCount="100000" sheet="1" objects="1" scenarios="1"/>
  <phoneticPr fontId="1"/>
  <pageMargins left="0.7" right="0.7" top="0.75" bottom="0.75" header="0.3" footer="0.3"/>
  <pageSetup paperSize="9" orientation="portrait" horizontalDpi="4294967293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selection activeCell="Y35" sqref="Y35"/>
    </sheetView>
  </sheetViews>
  <sheetFormatPr defaultRowHeight="13.5"/>
  <cols>
    <col min="1" max="1" width="16.375" style="34" customWidth="1"/>
    <col min="2" max="2" width="6.375" style="34" customWidth="1"/>
    <col min="3" max="3" width="4.75" style="34" customWidth="1"/>
    <col min="4" max="4" width="1.5" style="34" customWidth="1"/>
    <col min="5" max="5" width="1.625" style="34" customWidth="1"/>
    <col min="6" max="6" width="1.375" style="34" customWidth="1"/>
    <col min="7" max="7" width="1.5" style="34" customWidth="1"/>
    <col min="8" max="21" width="9" style="34"/>
    <col min="22" max="22" width="23.5" style="34" customWidth="1"/>
    <col min="23" max="16384" width="9" style="34"/>
  </cols>
  <sheetData>
    <row r="1" spans="1:25">
      <c r="A1" s="96" t="s">
        <v>4</v>
      </c>
      <c r="B1" s="84">
        <v>150</v>
      </c>
      <c r="C1" s="86" t="s">
        <v>79</v>
      </c>
    </row>
    <row r="2" spans="1:25" ht="17.25">
      <c r="A2" s="96" t="s">
        <v>32</v>
      </c>
      <c r="B2" s="84">
        <v>3.65</v>
      </c>
      <c r="C2" s="86" t="s">
        <v>81</v>
      </c>
      <c r="H2" s="97" t="s">
        <v>96</v>
      </c>
      <c r="N2" s="56"/>
      <c r="R2" s="56"/>
      <c r="V2" s="56"/>
    </row>
    <row r="3" spans="1:25">
      <c r="A3" s="96" t="s">
        <v>33</v>
      </c>
      <c r="B3" s="84">
        <v>0.5</v>
      </c>
      <c r="C3" s="86" t="s">
        <v>81</v>
      </c>
      <c r="L3" s="34" t="s">
        <v>264</v>
      </c>
      <c r="N3" s="56"/>
    </row>
    <row r="4" spans="1:25" ht="14.25">
      <c r="A4" s="98"/>
      <c r="N4" s="56"/>
      <c r="Q4" s="45" t="s">
        <v>299</v>
      </c>
      <c r="T4" s="56"/>
      <c r="X4" s="56"/>
    </row>
    <row r="5" spans="1:25">
      <c r="A5" s="99" t="s">
        <v>37</v>
      </c>
      <c r="B5" s="40">
        <f>SQRT((B2+B3/2)*(B2-B3/2))</f>
        <v>3.6414282912066249</v>
      </c>
      <c r="C5" s="40" t="s">
        <v>134</v>
      </c>
      <c r="D5" s="40"/>
      <c r="E5" s="40"/>
      <c r="F5" s="40"/>
      <c r="G5" s="40"/>
      <c r="H5" s="40"/>
      <c r="Q5" s="40" t="s">
        <v>292</v>
      </c>
      <c r="R5" s="40">
        <f>SQRT(J9/K8)</f>
        <v>9.3630710852162569E-2</v>
      </c>
      <c r="S5" s="88" t="s">
        <v>294</v>
      </c>
      <c r="T5" s="40">
        <f>L8*2</f>
        <v>43.941553086703777</v>
      </c>
      <c r="U5" s="40"/>
      <c r="V5" s="40">
        <f>T5*(R5-1)/R5</f>
        <v>-425.36550104946451</v>
      </c>
      <c r="W5" s="88">
        <f>T5/R5</f>
        <v>469.30705413616829</v>
      </c>
      <c r="X5" s="40">
        <f>-(R5-1)*T5/R5^2</f>
        <v>4543.0126203045902</v>
      </c>
    </row>
    <row r="6" spans="1:25">
      <c r="A6" s="40"/>
      <c r="B6" s="40"/>
      <c r="C6" s="40"/>
      <c r="D6" s="40"/>
      <c r="E6" s="40"/>
      <c r="F6" s="40"/>
      <c r="G6" s="40"/>
      <c r="H6" s="40"/>
      <c r="K6" s="34" t="s">
        <v>97</v>
      </c>
      <c r="S6" s="56" t="s">
        <v>139</v>
      </c>
      <c r="U6" s="56" t="s">
        <v>100</v>
      </c>
      <c r="W6" s="56" t="s">
        <v>88</v>
      </c>
    </row>
    <row r="7" spans="1:25">
      <c r="A7" s="40"/>
      <c r="B7" s="40"/>
      <c r="C7" s="40"/>
      <c r="D7" s="40"/>
      <c r="E7" s="40"/>
      <c r="F7" s="40"/>
      <c r="G7" s="40"/>
      <c r="H7" s="40"/>
      <c r="I7" s="34" t="s">
        <v>98</v>
      </c>
      <c r="K7" s="56" t="s">
        <v>94</v>
      </c>
      <c r="L7" s="56" t="s">
        <v>99</v>
      </c>
      <c r="M7" s="34" t="s">
        <v>98</v>
      </c>
      <c r="Q7" s="56" t="s">
        <v>100</v>
      </c>
      <c r="R7" s="56" t="s">
        <v>84</v>
      </c>
      <c r="S7" s="100">
        <f>T5/R5</f>
        <v>469.30705413616829</v>
      </c>
      <c r="T7" s="56" t="s">
        <v>86</v>
      </c>
      <c r="U7" s="90">
        <f>Q8</f>
        <v>762.23339705544879</v>
      </c>
      <c r="V7" s="56" t="s">
        <v>289</v>
      </c>
      <c r="W7" s="100">
        <f>T5/R5</f>
        <v>469.30705413616829</v>
      </c>
      <c r="X7" s="56" t="s">
        <v>290</v>
      </c>
      <c r="Y7" s="56" t="s">
        <v>100</v>
      </c>
    </row>
    <row r="8" spans="1:25">
      <c r="A8" s="40"/>
      <c r="B8" s="40"/>
      <c r="C8" s="40" t="s">
        <v>94</v>
      </c>
      <c r="D8" s="40"/>
      <c r="E8" s="40"/>
      <c r="F8" s="40"/>
      <c r="G8" s="40"/>
      <c r="H8" s="40"/>
      <c r="I8" s="56" t="s">
        <v>84</v>
      </c>
      <c r="J8" s="56" t="s">
        <v>100</v>
      </c>
      <c r="K8" s="91">
        <f>C9</f>
        <v>86946.345411102418</v>
      </c>
      <c r="L8" s="95">
        <f>1000000000/((2*PI()*$B$5)^2*K8)</f>
        <v>21.970776543351889</v>
      </c>
      <c r="M8" s="56" t="s">
        <v>86</v>
      </c>
      <c r="N8" s="56" t="s">
        <v>100</v>
      </c>
      <c r="Q8" s="90">
        <f>J9</f>
        <v>762.23339705544879</v>
      </c>
      <c r="R8" s="100">
        <f>I9+T5*(R5-1)/R5</f>
        <v>2080.7943361709144</v>
      </c>
      <c r="S8" s="23" t="s">
        <v>102</v>
      </c>
      <c r="T8" s="100">
        <f>-T5*(R5-1)/R5^2</f>
        <v>4543.0126203045902</v>
      </c>
      <c r="U8" s="23" t="s">
        <v>101</v>
      </c>
      <c r="V8" s="100">
        <f>-(R5-1)*T5/R5^2</f>
        <v>4543.0126203045902</v>
      </c>
      <c r="W8" s="23" t="s">
        <v>102</v>
      </c>
      <c r="X8" s="100">
        <f>M9+T5*(R5-1)/R5</f>
        <v>2080.7943361709144</v>
      </c>
      <c r="Y8" s="90">
        <f>N9</f>
        <v>762.23339705544879</v>
      </c>
    </row>
    <row r="9" spans="1:25">
      <c r="A9" s="40"/>
      <c r="B9" s="40" t="s">
        <v>84</v>
      </c>
      <c r="C9" s="40">
        <f>VLOOKUP(3,Norma!$A$19:$J$22,3,FALSE)*1000*$B$1/(2*PI()*$B$3)</f>
        <v>86946.345411102418</v>
      </c>
      <c r="D9" s="40" t="s">
        <v>86</v>
      </c>
      <c r="E9" s="40"/>
      <c r="F9" s="40"/>
      <c r="G9" s="40"/>
      <c r="H9" s="40"/>
      <c r="I9" s="95">
        <f>B10</f>
        <v>2506.1598372203789</v>
      </c>
      <c r="J9" s="91">
        <f>1000000000/((2*PI()*$B$5)^2*I9)</f>
        <v>762.23339705544879</v>
      </c>
      <c r="K9" s="23" t="s">
        <v>101</v>
      </c>
      <c r="L9" s="23" t="s">
        <v>102</v>
      </c>
      <c r="M9" s="95">
        <f>D10</f>
        <v>2506.1598372203789</v>
      </c>
      <c r="N9" s="91">
        <f>1000000000/((2*PI()*$B$5)^2*M9)</f>
        <v>762.23339705544879</v>
      </c>
      <c r="Q9" s="23" t="s">
        <v>101</v>
      </c>
      <c r="R9" s="23" t="s">
        <v>102</v>
      </c>
      <c r="T9" s="23" t="s">
        <v>102</v>
      </c>
      <c r="V9" s="23" t="s">
        <v>102</v>
      </c>
      <c r="X9" s="23" t="s">
        <v>102</v>
      </c>
      <c r="Y9" s="23" t="s">
        <v>101</v>
      </c>
    </row>
    <row r="10" spans="1:25">
      <c r="A10" s="40"/>
      <c r="B10" s="40">
        <f>VLOOKUP(3,Norma!$A$19:$J$22,2,FALSE)*1000000/($B$1*2*PI()*$B$3)</f>
        <v>2506.1598372203789</v>
      </c>
      <c r="C10" s="46" t="s">
        <v>115</v>
      </c>
      <c r="D10" s="40">
        <f>VLOOKUP(3,Norma!$A$19:$J$22,4,FALSE)*1000000/($B$1*2*PI()*$B$3)</f>
        <v>2506.1598372203789</v>
      </c>
      <c r="E10" s="40"/>
      <c r="F10" s="40"/>
      <c r="G10" s="40"/>
      <c r="H10" s="40"/>
      <c r="I10" s="23" t="s">
        <v>102</v>
      </c>
      <c r="J10" s="23" t="s">
        <v>101</v>
      </c>
      <c r="M10" s="23" t="s">
        <v>102</v>
      </c>
      <c r="N10" s="23" t="s">
        <v>101</v>
      </c>
    </row>
    <row r="11" spans="1:25">
      <c r="A11" s="40"/>
      <c r="B11" s="46" t="s">
        <v>114</v>
      </c>
      <c r="C11" s="40"/>
      <c r="D11" s="46" t="s">
        <v>114</v>
      </c>
      <c r="E11" s="40"/>
      <c r="F11" s="40"/>
      <c r="G11" s="40"/>
      <c r="H11" s="40"/>
      <c r="K11" s="23"/>
    </row>
    <row r="12" spans="1:25">
      <c r="A12" s="40"/>
      <c r="B12" s="40"/>
      <c r="C12" s="40"/>
      <c r="D12" s="40"/>
      <c r="E12" s="40"/>
      <c r="F12" s="40"/>
      <c r="G12" s="40"/>
      <c r="H12" s="40"/>
    </row>
    <row r="13" spans="1:25">
      <c r="A13" s="40"/>
      <c r="B13" s="40"/>
      <c r="C13" s="40"/>
      <c r="D13" s="40"/>
      <c r="E13" s="40"/>
      <c r="F13" s="40"/>
      <c r="G13" s="40"/>
      <c r="H13" s="40"/>
    </row>
    <row r="14" spans="1:25">
      <c r="A14" s="40"/>
      <c r="B14" s="40"/>
      <c r="C14" s="40"/>
      <c r="D14" s="40"/>
      <c r="E14" s="40"/>
      <c r="F14" s="40"/>
      <c r="G14" s="40"/>
      <c r="H14" s="40"/>
    </row>
    <row r="15" spans="1:25">
      <c r="A15" s="40"/>
      <c r="B15" s="40"/>
      <c r="C15" s="40" t="s">
        <v>94</v>
      </c>
      <c r="D15" s="40"/>
      <c r="E15" s="40" t="s">
        <v>104</v>
      </c>
      <c r="F15" s="40"/>
      <c r="G15" s="40"/>
      <c r="H15" s="40"/>
    </row>
    <row r="16" spans="1:25">
      <c r="A16" s="40"/>
      <c r="B16" s="40" t="s">
        <v>84</v>
      </c>
      <c r="C16" s="40">
        <f>VLOOKUP(5,Norma!$A$19:$J$22,3,FALSE)*1000*$B$1/(2*PI()*$B$3)</f>
        <v>80452.823732953097</v>
      </c>
      <c r="D16" s="40" t="s">
        <v>86</v>
      </c>
      <c r="E16" s="40">
        <f>VLOOKUP(5,Norma!$A$19:$J$22,5,FALSE)*1000*$B$1/(2*PI()*$B$3)</f>
        <v>80452.823732953097</v>
      </c>
      <c r="F16" s="40" t="s">
        <v>88</v>
      </c>
      <c r="G16" s="40"/>
      <c r="H16" s="40"/>
    </row>
    <row r="17" spans="1:27">
      <c r="A17" s="40"/>
      <c r="B17" s="40">
        <f>VLOOKUP(5,Norma!$A$19:$J$22,2,FALSE)*1000000/($B$1*2*PI()*$B$3)</f>
        <v>2073.2583920104234</v>
      </c>
      <c r="C17" s="46" t="s">
        <v>101</v>
      </c>
      <c r="D17" s="40">
        <f>VLOOKUP(5,Norma!$A$19:$J$22,4,FALSE)*1000000/($B$1*2*PI()*$B$3)</f>
        <v>4322.6482543758775</v>
      </c>
      <c r="E17" s="46" t="s">
        <v>101</v>
      </c>
      <c r="F17" s="40">
        <f>VLOOKUP(5,Norma!$A$19:$J$22,6,FALSE)*1000000/($B$1*2*PI()*$B$3)</f>
        <v>2073.2583920104234</v>
      </c>
      <c r="G17" s="40"/>
      <c r="H17" s="40"/>
    </row>
    <row r="18" spans="1:27" ht="17.25">
      <c r="A18" s="40"/>
      <c r="B18" s="46" t="s">
        <v>102</v>
      </c>
      <c r="C18" s="46"/>
      <c r="D18" s="46" t="s">
        <v>102</v>
      </c>
      <c r="E18" s="46"/>
      <c r="F18" s="46" t="s">
        <v>102</v>
      </c>
      <c r="G18" s="40"/>
      <c r="H18" s="40"/>
      <c r="V18" s="97" t="s">
        <v>312</v>
      </c>
    </row>
    <row r="19" spans="1:27">
      <c r="A19" s="40"/>
      <c r="B19" s="40"/>
      <c r="C19" s="40"/>
      <c r="D19" s="40"/>
      <c r="E19" s="40"/>
      <c r="F19" s="40"/>
      <c r="G19" s="40"/>
      <c r="H19" s="40"/>
    </row>
    <row r="20" spans="1:27">
      <c r="A20" s="40"/>
      <c r="B20" s="40"/>
      <c r="C20" s="40"/>
      <c r="D20" s="40"/>
      <c r="E20" s="40"/>
      <c r="F20" s="40"/>
      <c r="G20" s="40"/>
      <c r="H20" s="40"/>
      <c r="V20" s="107" t="s">
        <v>313</v>
      </c>
      <c r="W20" s="114">
        <v>150</v>
      </c>
      <c r="X20" s="107" t="s">
        <v>79</v>
      </c>
      <c r="Y20" s="108" t="s">
        <v>314</v>
      </c>
      <c r="Z20" s="111">
        <f>IF(W20&gt;W21,W22*Z21/(Z21-W22),"NG")</f>
        <v>4923.2256601946601</v>
      </c>
      <c r="AA20" s="107" t="s">
        <v>102</v>
      </c>
    </row>
    <row r="21" spans="1:27">
      <c r="A21" s="40"/>
      <c r="B21" s="40"/>
      <c r="C21" s="40"/>
      <c r="D21" s="40"/>
      <c r="E21" s="40"/>
      <c r="F21" s="40"/>
      <c r="G21" s="40"/>
      <c r="H21" s="40"/>
      <c r="K21" s="34" t="s">
        <v>97</v>
      </c>
      <c r="O21" s="34" t="s">
        <v>97</v>
      </c>
      <c r="V21" s="107" t="s">
        <v>319</v>
      </c>
      <c r="W21" s="114">
        <v>50</v>
      </c>
      <c r="X21" s="107" t="s">
        <v>79</v>
      </c>
      <c r="Y21" s="108" t="s">
        <v>315</v>
      </c>
      <c r="Z21" s="111">
        <f>IF(W20&gt;W21,W22*SQRT(W20/W21),"NG")</f>
        <v>3604.0513203893202</v>
      </c>
      <c r="AA21" s="107" t="s">
        <v>102</v>
      </c>
    </row>
    <row r="22" spans="1:27">
      <c r="A22" s="40"/>
      <c r="B22" s="40"/>
      <c r="C22" s="40"/>
      <c r="D22" s="40"/>
      <c r="E22" s="40"/>
      <c r="F22" s="40"/>
      <c r="G22" s="40"/>
      <c r="H22" s="40"/>
      <c r="I22" s="34" t="s">
        <v>98</v>
      </c>
      <c r="K22" s="34" t="s">
        <v>94</v>
      </c>
      <c r="L22" s="34" t="s">
        <v>99</v>
      </c>
      <c r="M22" s="34" t="s">
        <v>98</v>
      </c>
      <c r="O22" s="34" t="s">
        <v>104</v>
      </c>
      <c r="P22" s="34" t="s">
        <v>99</v>
      </c>
      <c r="V22" s="107" t="s">
        <v>316</v>
      </c>
      <c r="W22" s="114">
        <v>2080.8000000000002</v>
      </c>
      <c r="X22" s="107" t="s">
        <v>317</v>
      </c>
      <c r="Y22" s="108" t="s">
        <v>323</v>
      </c>
      <c r="Z22" s="112">
        <f>10*LOG10(W21/W20)</f>
        <v>-4.7712125471966242</v>
      </c>
      <c r="AA22" s="107" t="s">
        <v>320</v>
      </c>
    </row>
    <row r="23" spans="1:27">
      <c r="A23" s="40"/>
      <c r="B23" s="40"/>
      <c r="C23" s="40" t="s">
        <v>94</v>
      </c>
      <c r="D23" s="40"/>
      <c r="E23" s="40" t="s">
        <v>104</v>
      </c>
      <c r="F23" s="40"/>
      <c r="G23" s="40" t="s">
        <v>106</v>
      </c>
      <c r="H23" s="40"/>
      <c r="I23" s="34" t="s">
        <v>84</v>
      </c>
      <c r="J23" s="34" t="s">
        <v>100</v>
      </c>
      <c r="K23" s="91">
        <f>C16</f>
        <v>80452.823732953097</v>
      </c>
      <c r="L23" s="95">
        <f>1000000000/((2*PI()*$B$5)^2*K23)</f>
        <v>23.744085510649128</v>
      </c>
      <c r="M23" s="34" t="s">
        <v>86</v>
      </c>
      <c r="N23" s="34" t="s">
        <v>100</v>
      </c>
      <c r="O23" s="91">
        <f>E16</f>
        <v>80452.823732953097</v>
      </c>
      <c r="P23" s="95">
        <f>1000000000/((2*PI()*$B$5)^2*O23)</f>
        <v>23.744085510649128</v>
      </c>
      <c r="Q23" s="34" t="s">
        <v>88</v>
      </c>
      <c r="R23" s="34" t="s">
        <v>100</v>
      </c>
    </row>
    <row r="24" spans="1:27">
      <c r="A24" s="40"/>
      <c r="B24" s="40" t="s">
        <v>84</v>
      </c>
      <c r="C24" s="40">
        <f>VLOOKUP(7,Norma!$A$19:$J$22,3,FALSE)*1000*$B$1/(2*PI()*$B$3)</f>
        <v>76155.640269471915</v>
      </c>
      <c r="D24" s="40" t="s">
        <v>86</v>
      </c>
      <c r="E24" s="40">
        <f>VLOOKUP(7,Norma!$A$19:$J$22,5,FALSE)*1000*$B$1/(2*PI()*$B$3)</f>
        <v>89285.923074553284</v>
      </c>
      <c r="F24" s="40" t="s">
        <v>88</v>
      </c>
      <c r="G24" s="40">
        <f>VLOOKUP(7,Norma!$A$19:$J$22,7,FALSE)*1000*$B$1/(2*PI()*$B$3)</f>
        <v>76155.640269471915</v>
      </c>
      <c r="H24" s="40" t="s">
        <v>90</v>
      </c>
      <c r="I24" s="95">
        <f>B17</f>
        <v>2073.2583920104234</v>
      </c>
      <c r="J24" s="91">
        <f>1000000000/((2*PI()*$B$5)^2*I24)</f>
        <v>921.38960278657623</v>
      </c>
      <c r="K24" s="23" t="s">
        <v>101</v>
      </c>
      <c r="L24" s="23" t="s">
        <v>102</v>
      </c>
      <c r="M24" s="95">
        <f>D17</f>
        <v>4322.6482543758775</v>
      </c>
      <c r="N24" s="91">
        <f>1000000000/((2*PI()*$B$5)^2*M24)</f>
        <v>441.92324100269275</v>
      </c>
      <c r="O24" s="23" t="s">
        <v>101</v>
      </c>
      <c r="P24" s="23" t="s">
        <v>102</v>
      </c>
      <c r="Q24" s="95">
        <f>F17</f>
        <v>2073.2583920104234</v>
      </c>
      <c r="R24" s="91">
        <f>1000000000/((2*PI()*$B$5)^2*Q24)</f>
        <v>921.38960278657623</v>
      </c>
    </row>
    <row r="25" spans="1:27">
      <c r="A25" s="40"/>
      <c r="B25" s="40">
        <f>VLOOKUP(7,Norma!$A$19:$J$22,2,FALSE)*1000000/($B$1*2*PI()*$B$3)</f>
        <v>1937.4461739053393</v>
      </c>
      <c r="C25" s="46" t="s">
        <v>101</v>
      </c>
      <c r="D25" s="40">
        <f>VLOOKUP(7,Norma!$A$19:$J$22,3,FALSE)*1000000/($B$1*2*PI()*$B$3)</f>
        <v>3384.6951230876412</v>
      </c>
      <c r="E25" s="46" t="s">
        <v>101</v>
      </c>
      <c r="F25" s="40">
        <f>VLOOKUP(7,Norma!$A$19:$J$22,6,FALSE)*1000000/($B$1*2*PI()*$B$3)</f>
        <v>4248.3759475996594</v>
      </c>
      <c r="G25" s="46" t="s">
        <v>101</v>
      </c>
      <c r="H25" s="40">
        <f>VLOOKUP(7,Norma!$A$19:$J$22,8,FALSE)*1000000/($B$1*2*PI()*$B$3)</f>
        <v>1937.4461739053393</v>
      </c>
      <c r="I25" s="23" t="s">
        <v>102</v>
      </c>
      <c r="J25" s="23" t="s">
        <v>101</v>
      </c>
      <c r="M25" s="23" t="s">
        <v>102</v>
      </c>
      <c r="N25" s="23" t="s">
        <v>101</v>
      </c>
      <c r="Q25" s="23" t="s">
        <v>102</v>
      </c>
      <c r="R25" s="23" t="s">
        <v>101</v>
      </c>
    </row>
    <row r="26" spans="1:27">
      <c r="A26" s="40"/>
      <c r="B26" s="46" t="s">
        <v>102</v>
      </c>
      <c r="C26" s="40"/>
      <c r="D26" s="46" t="s">
        <v>102</v>
      </c>
      <c r="E26" s="40"/>
      <c r="F26" s="46" t="s">
        <v>102</v>
      </c>
      <c r="G26" s="40"/>
      <c r="H26" s="46" t="s">
        <v>102</v>
      </c>
    </row>
    <row r="35" spans="9:22">
      <c r="K35" s="34" t="s">
        <v>97</v>
      </c>
      <c r="O35" s="34" t="s">
        <v>97</v>
      </c>
      <c r="S35" s="34" t="s">
        <v>97</v>
      </c>
    </row>
    <row r="36" spans="9:22">
      <c r="I36" s="34" t="s">
        <v>98</v>
      </c>
      <c r="K36" s="56" t="s">
        <v>94</v>
      </c>
      <c r="L36" s="56" t="s">
        <v>99</v>
      </c>
      <c r="M36" s="34" t="s">
        <v>98</v>
      </c>
      <c r="O36" s="56" t="s">
        <v>104</v>
      </c>
      <c r="P36" s="56" t="s">
        <v>99</v>
      </c>
      <c r="Q36" s="34" t="s">
        <v>98</v>
      </c>
      <c r="S36" s="56" t="s">
        <v>106</v>
      </c>
      <c r="T36" s="56" t="s">
        <v>99</v>
      </c>
      <c r="U36" s="34" t="s">
        <v>98</v>
      </c>
    </row>
    <row r="37" spans="9:22">
      <c r="I37" s="56" t="s">
        <v>84</v>
      </c>
      <c r="J37" s="56" t="s">
        <v>100</v>
      </c>
      <c r="K37" s="91">
        <f>C24</f>
        <v>76155.640269471915</v>
      </c>
      <c r="L37" s="95">
        <f>1000000000/((2*PI()*$B$5)^2*K37)</f>
        <v>25.08387716955723</v>
      </c>
      <c r="M37" s="56" t="s">
        <v>86</v>
      </c>
      <c r="N37" s="56" t="s">
        <v>100</v>
      </c>
      <c r="O37" s="91">
        <f>E24</f>
        <v>89285.923074553284</v>
      </c>
      <c r="P37" s="95">
        <f>1000000000/((2*PI()*$B$5)^2*O37)</f>
        <v>21.395071703445875</v>
      </c>
      <c r="Q37" s="56" t="s">
        <v>88</v>
      </c>
      <c r="R37" s="56" t="s">
        <v>100</v>
      </c>
      <c r="S37" s="91">
        <f>G24</f>
        <v>76155.640269471915</v>
      </c>
      <c r="T37" s="95">
        <f>1000000000/((2*PI()*$B$5)^2*S37)</f>
        <v>25.08387716955723</v>
      </c>
      <c r="U37" s="56" t="s">
        <v>90</v>
      </c>
      <c r="V37" s="56" t="s">
        <v>100</v>
      </c>
    </row>
    <row r="38" spans="9:22">
      <c r="I38" s="95">
        <f>B25</f>
        <v>1937.4461739053393</v>
      </c>
      <c r="J38" s="91">
        <f>1000000000/((2*PI()*$B$5)^2*I38)</f>
        <v>985.97770199615024</v>
      </c>
      <c r="K38" s="23" t="s">
        <v>101</v>
      </c>
      <c r="L38" s="23" t="s">
        <v>102</v>
      </c>
      <c r="M38" s="95">
        <f>D25</f>
        <v>3384.6951230876412</v>
      </c>
      <c r="N38" s="91">
        <f>1000000000/((2*PI()*$B$5)^2*M38)</f>
        <v>564.38723631503774</v>
      </c>
      <c r="O38" s="23" t="s">
        <v>101</v>
      </c>
      <c r="P38" s="23" t="s">
        <v>102</v>
      </c>
      <c r="Q38" s="95">
        <f>F25</f>
        <v>4248.3759475996594</v>
      </c>
      <c r="R38" s="91">
        <f>1000000000/((2*PI()*$B$5)^2*Q38)</f>
        <v>449.64917178945308</v>
      </c>
      <c r="S38" s="23" t="s">
        <v>101</v>
      </c>
      <c r="T38" s="23" t="s">
        <v>102</v>
      </c>
      <c r="U38" s="95">
        <f>H25</f>
        <v>1937.4461739053393</v>
      </c>
      <c r="V38" s="91">
        <f>1000000000/((2*PI()*$B$5)^2*U38)</f>
        <v>985.97770199615024</v>
      </c>
    </row>
    <row r="39" spans="9:22">
      <c r="I39" s="23" t="s">
        <v>102</v>
      </c>
      <c r="J39" s="23" t="s">
        <v>101</v>
      </c>
      <c r="M39" s="23" t="s">
        <v>102</v>
      </c>
      <c r="N39" s="23" t="s">
        <v>101</v>
      </c>
      <c r="Q39" s="23" t="s">
        <v>102</v>
      </c>
      <c r="R39" s="23" t="s">
        <v>101</v>
      </c>
      <c r="U39" s="23" t="s">
        <v>102</v>
      </c>
      <c r="V39" s="23" t="s">
        <v>101</v>
      </c>
    </row>
  </sheetData>
  <sheetProtection algorithmName="SHA-512" hashValue="44DI0e5Y0zgK1qVXg57caVSh7MPwQKpZXva1SN/8Da8SIL83vuXGVVREWnkcHT1IW3WuIp0z7FNccrUIeKu4Pg==" saltValue="MvcP7+CJxaWkxqMQUVazSg==" spinCount="100000" sheet="1" objects="1" scenarios="1"/>
  <phoneticPr fontId="1"/>
  <pageMargins left="0.7" right="0.7" top="0.75" bottom="0.75" header="0.3" footer="0.3"/>
  <pageSetup paperSize="9" orientation="portrait" horizontalDpi="4294967293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workbookViewId="0">
      <selection activeCell="Z15" sqref="Z15"/>
    </sheetView>
  </sheetViews>
  <sheetFormatPr defaultRowHeight="13.5"/>
  <cols>
    <col min="1" max="1" width="18.875" style="34" customWidth="1"/>
    <col min="2" max="2" width="6.75" style="34" customWidth="1"/>
    <col min="3" max="3" width="5.375" style="34" customWidth="1"/>
    <col min="4" max="4" width="2" style="34" customWidth="1"/>
    <col min="5" max="5" width="1.75" style="34" customWidth="1"/>
    <col min="6" max="6" width="2" style="34" customWidth="1"/>
    <col min="7" max="7" width="3.125" style="34" customWidth="1"/>
    <col min="8" max="8" width="2.625" style="34" customWidth="1"/>
    <col min="9" max="23" width="9" style="34"/>
    <col min="24" max="24" width="23.5" style="34" customWidth="1"/>
    <col min="25" max="16384" width="9" style="34"/>
  </cols>
  <sheetData>
    <row r="1" spans="1:29" ht="14.25">
      <c r="A1" s="102" t="s">
        <v>109</v>
      </c>
      <c r="B1" s="101">
        <v>200</v>
      </c>
      <c r="C1" s="103" t="s">
        <v>79</v>
      </c>
    </row>
    <row r="2" spans="1:29" ht="18.75">
      <c r="A2" s="102" t="s">
        <v>110</v>
      </c>
      <c r="B2" s="101">
        <v>3.65</v>
      </c>
      <c r="C2" s="103" t="s">
        <v>81</v>
      </c>
      <c r="J2" s="87" t="s">
        <v>113</v>
      </c>
    </row>
    <row r="3" spans="1:29" ht="14.25">
      <c r="A3" s="102" t="s">
        <v>111</v>
      </c>
      <c r="B3" s="101">
        <v>0.5</v>
      </c>
      <c r="C3" s="103" t="s">
        <v>81</v>
      </c>
      <c r="M3" s="34" t="s">
        <v>302</v>
      </c>
    </row>
    <row r="4" spans="1:29" ht="14.25">
      <c r="R4" s="45" t="s">
        <v>299</v>
      </c>
    </row>
    <row r="5" spans="1:29">
      <c r="A5" s="88" t="s">
        <v>112</v>
      </c>
      <c r="B5" s="40">
        <f>SQRT((B2+B3/2)*(B2-B3/2))</f>
        <v>3.6414282912066249</v>
      </c>
      <c r="C5" s="40" t="s">
        <v>134</v>
      </c>
      <c r="D5" s="40"/>
      <c r="E5" s="40"/>
      <c r="F5" s="40"/>
      <c r="G5" s="40"/>
      <c r="H5" s="40"/>
      <c r="R5" s="40" t="s">
        <v>292</v>
      </c>
      <c r="S5" s="40">
        <f>SQRT(J9/K8)</f>
        <v>9.1776261725799543E-2</v>
      </c>
      <c r="T5" s="40" t="s">
        <v>294</v>
      </c>
      <c r="U5" s="40">
        <f>L8*2</f>
        <v>35.65845283907646</v>
      </c>
      <c r="V5" s="40"/>
      <c r="W5" s="40">
        <f>U5*(S5-1)/S5</f>
        <v>-352.87832310428695</v>
      </c>
      <c r="X5" s="40">
        <f>U5/S5</f>
        <v>388.53677594336347</v>
      </c>
      <c r="Y5" s="40">
        <f>-(S5-1)*U5/S5^2</f>
        <v>3844.9847103010525</v>
      </c>
    </row>
    <row r="6" spans="1:29">
      <c r="A6" s="40"/>
      <c r="B6" s="40"/>
      <c r="C6" s="40"/>
      <c r="D6" s="40"/>
      <c r="E6" s="40"/>
      <c r="F6" s="40"/>
      <c r="G6" s="40"/>
      <c r="H6" s="40"/>
      <c r="K6" s="56" t="s">
        <v>97</v>
      </c>
      <c r="T6" s="56" t="s">
        <v>139</v>
      </c>
      <c r="V6" s="56" t="s">
        <v>100</v>
      </c>
      <c r="X6" s="56" t="s">
        <v>88</v>
      </c>
    </row>
    <row r="7" spans="1:29">
      <c r="A7" s="40"/>
      <c r="B7" s="40" t="s">
        <v>95</v>
      </c>
      <c r="C7" s="40"/>
      <c r="D7" s="40"/>
      <c r="E7" s="40"/>
      <c r="F7" s="40"/>
      <c r="G7" s="40"/>
      <c r="H7" s="40"/>
      <c r="I7" s="34" t="s">
        <v>98</v>
      </c>
      <c r="K7" s="56" t="s">
        <v>94</v>
      </c>
      <c r="L7" s="56" t="s">
        <v>99</v>
      </c>
      <c r="M7" s="34" t="s">
        <v>98</v>
      </c>
      <c r="R7" s="56" t="s">
        <v>100</v>
      </c>
      <c r="S7" s="56" t="s">
        <v>84</v>
      </c>
      <c r="T7" s="100">
        <f>U5/S5</f>
        <v>388.53677594336347</v>
      </c>
      <c r="U7" s="56" t="s">
        <v>86</v>
      </c>
      <c r="V7" s="104">
        <f>R8</f>
        <v>902.45377636339344</v>
      </c>
      <c r="W7" s="56" t="s">
        <v>289</v>
      </c>
      <c r="X7" s="100">
        <f>U5/S5</f>
        <v>388.53677594336347</v>
      </c>
      <c r="Y7" s="56" t="s">
        <v>290</v>
      </c>
      <c r="Z7" s="56" t="s">
        <v>100</v>
      </c>
    </row>
    <row r="8" spans="1:29">
      <c r="A8" s="40"/>
      <c r="B8" s="40"/>
      <c r="C8" s="88" t="s">
        <v>94</v>
      </c>
      <c r="D8" s="40"/>
      <c r="E8" s="40"/>
      <c r="F8" s="40"/>
      <c r="G8" s="40"/>
      <c r="H8" s="40"/>
      <c r="I8" s="56" t="s">
        <v>84</v>
      </c>
      <c r="J8" s="56" t="s">
        <v>100</v>
      </c>
      <c r="K8" s="91">
        <f>C9</f>
        <v>107143.10768946394</v>
      </c>
      <c r="L8" s="95">
        <f>1000000000/((2*PI()*$B$5)^2*K8)</f>
        <v>17.82922641953823</v>
      </c>
      <c r="M8" s="56" t="s">
        <v>86</v>
      </c>
      <c r="N8" s="56" t="s">
        <v>100</v>
      </c>
      <c r="R8" s="104">
        <f>J9</f>
        <v>902.45377636339344</v>
      </c>
      <c r="S8" s="100">
        <f>I9+U5*(S5-1)/S5</f>
        <v>1763.8824200179213</v>
      </c>
      <c r="T8" s="23" t="s">
        <v>102</v>
      </c>
      <c r="U8" s="100">
        <f>-U5*(S5-1)/S5^2</f>
        <v>3844.9847103010525</v>
      </c>
      <c r="V8" s="23" t="s">
        <v>101</v>
      </c>
      <c r="W8" s="100">
        <f>-(S5-1)*U5/S5^2</f>
        <v>3844.9847103010525</v>
      </c>
      <c r="X8" s="23" t="s">
        <v>102</v>
      </c>
      <c r="Y8" s="100">
        <f>M9+U5*(S5-1)/S5</f>
        <v>1763.8824200179213</v>
      </c>
      <c r="Z8" s="104">
        <f>N9</f>
        <v>902.45377636339344</v>
      </c>
    </row>
    <row r="9" spans="1:29">
      <c r="A9" s="40"/>
      <c r="B9" s="88" t="s">
        <v>84</v>
      </c>
      <c r="C9" s="40">
        <f>VLOOKUP(3,Norma!$A$25:$J$28,3,FALSE)*1000*$B$1/(2*PI()*$B$3)</f>
        <v>107143.10768946394</v>
      </c>
      <c r="D9" s="88" t="s">
        <v>86</v>
      </c>
      <c r="E9" s="40"/>
      <c r="F9" s="40"/>
      <c r="G9" s="40"/>
      <c r="H9" s="40"/>
      <c r="I9" s="95">
        <f>B10</f>
        <v>2116.7607431222082</v>
      </c>
      <c r="J9" s="91">
        <f>1000000000/((2*PI()*$B$5)^2*I9)</f>
        <v>902.45377636339344</v>
      </c>
      <c r="K9" s="23" t="s">
        <v>101</v>
      </c>
      <c r="L9" s="23" t="s">
        <v>102</v>
      </c>
      <c r="M9" s="95">
        <f>D10</f>
        <v>2116.7607431222082</v>
      </c>
      <c r="N9" s="91">
        <f>1000000000/((2*PI()*$B$5)^2*M9)</f>
        <v>902.45377636339344</v>
      </c>
      <c r="R9" s="23" t="s">
        <v>101</v>
      </c>
      <c r="S9" s="23" t="s">
        <v>102</v>
      </c>
      <c r="T9" s="23"/>
      <c r="U9" s="23" t="s">
        <v>102</v>
      </c>
      <c r="V9" s="23"/>
      <c r="W9" s="23" t="s">
        <v>102</v>
      </c>
      <c r="X9" s="23"/>
      <c r="Y9" s="23" t="s">
        <v>102</v>
      </c>
      <c r="Z9" s="23" t="s">
        <v>101</v>
      </c>
    </row>
    <row r="10" spans="1:29">
      <c r="A10" s="40"/>
      <c r="B10" s="40">
        <f>VLOOKUP(3,Norma!$A$25:$J$28,2,FALSE)*1000000/($B$1*2*PI()*$B$3)</f>
        <v>2116.7607431222082</v>
      </c>
      <c r="C10" s="46" t="s">
        <v>117</v>
      </c>
      <c r="D10" s="40">
        <f>VLOOKUP(3,Norma!$A$25:$J$28,4,FALSE)*1000000/($B$1*2*PI()*$B$3)</f>
        <v>2116.7607431222082</v>
      </c>
      <c r="E10" s="40"/>
      <c r="F10" s="40"/>
      <c r="G10" s="40"/>
      <c r="H10" s="40"/>
      <c r="I10" s="23" t="s">
        <v>102</v>
      </c>
      <c r="J10" s="23" t="s">
        <v>101</v>
      </c>
      <c r="M10" s="23" t="s">
        <v>102</v>
      </c>
      <c r="N10" s="23" t="s">
        <v>101</v>
      </c>
    </row>
    <row r="11" spans="1:29">
      <c r="A11" s="40"/>
      <c r="B11" s="46" t="s">
        <v>116</v>
      </c>
      <c r="C11" s="40"/>
      <c r="D11" s="46" t="s">
        <v>116</v>
      </c>
      <c r="E11" s="40"/>
      <c r="F11" s="40"/>
      <c r="G11" s="40"/>
      <c r="H11" s="40"/>
    </row>
    <row r="12" spans="1:29">
      <c r="A12" s="40"/>
      <c r="B12" s="40"/>
      <c r="C12" s="40"/>
      <c r="D12" s="40"/>
      <c r="E12" s="40"/>
      <c r="F12" s="40"/>
      <c r="G12" s="40"/>
      <c r="H12" s="40"/>
    </row>
    <row r="13" spans="1:29" ht="17.25">
      <c r="A13" s="40"/>
      <c r="B13" s="40" t="s">
        <v>103</v>
      </c>
      <c r="C13" s="40"/>
      <c r="D13" s="40"/>
      <c r="E13" s="40"/>
      <c r="F13" s="40"/>
      <c r="G13" s="40"/>
      <c r="H13" s="40"/>
      <c r="X13" s="97" t="s">
        <v>312</v>
      </c>
    </row>
    <row r="14" spans="1:29">
      <c r="A14" s="40"/>
      <c r="B14" s="40"/>
      <c r="C14" s="40" t="s">
        <v>94</v>
      </c>
      <c r="D14" s="40"/>
      <c r="E14" s="40" t="s">
        <v>104</v>
      </c>
      <c r="F14" s="40"/>
      <c r="G14" s="40"/>
      <c r="H14" s="40"/>
    </row>
    <row r="15" spans="1:29">
      <c r="A15" s="40"/>
      <c r="B15" s="40" t="s">
        <v>84</v>
      </c>
      <c r="C15" s="40">
        <f>VLOOKUP(5,Norma!$A$25:$J$28,3,FALSE)*1000*$B$1/(2*PI()*$B$3)</f>
        <v>102877.75521460114</v>
      </c>
      <c r="D15" s="40" t="s">
        <v>86</v>
      </c>
      <c r="E15" s="40">
        <f>VLOOKUP(5,Norma!$A$25:$J$28,5,FALSE)*1000*$B$1/(2*PI()*$B$3)</f>
        <v>102877.75521460114</v>
      </c>
      <c r="F15" s="40" t="s">
        <v>88</v>
      </c>
      <c r="G15" s="40"/>
      <c r="H15" s="40"/>
      <c r="X15" s="107" t="s">
        <v>313</v>
      </c>
      <c r="Y15" s="114">
        <v>200</v>
      </c>
      <c r="Z15" s="107" t="s">
        <v>79</v>
      </c>
      <c r="AA15" s="108" t="s">
        <v>314</v>
      </c>
      <c r="AB15" s="111">
        <f>IF(Y15&gt;Y16,Y17*AB16/(AB16-Y17),"NG")</f>
        <v>3527.8</v>
      </c>
      <c r="AC15" s="107" t="s">
        <v>102</v>
      </c>
    </row>
    <row r="16" spans="1:29">
      <c r="A16" s="40"/>
      <c r="B16" s="40">
        <f>VLOOKUP(5,Norma!$A$25:$J$28,2,FALSE)*1000000/($B$1*2*PI()*$B$3)</f>
        <v>1868.4790318988512</v>
      </c>
      <c r="C16" s="40" t="s">
        <v>101</v>
      </c>
      <c r="D16" s="40">
        <f>VLOOKUP(5,Norma!$A$25:$J$28,4,FALSE)*1000000/($B$1*2*PI()*$B$3)</f>
        <v>3420.2397270448309</v>
      </c>
      <c r="E16" s="40" t="s">
        <v>101</v>
      </c>
      <c r="F16" s="40">
        <f>VLOOKUP(5,Norma!$A$25:$J$28,6,FALSE)*1000000/($B$1*2*PI()*$B$3)</f>
        <v>1868.4790318988512</v>
      </c>
      <c r="G16" s="40"/>
      <c r="H16" s="40"/>
      <c r="X16" s="107" t="s">
        <v>319</v>
      </c>
      <c r="Y16" s="114">
        <v>50</v>
      </c>
      <c r="Z16" s="107" t="s">
        <v>79</v>
      </c>
      <c r="AA16" s="108" t="s">
        <v>315</v>
      </c>
      <c r="AB16" s="111">
        <f>IF(Y15&gt;Y16,Y17*SQRT(Y15/Y16),"NG")</f>
        <v>3527.8</v>
      </c>
      <c r="AC16" s="107" t="s">
        <v>102</v>
      </c>
    </row>
    <row r="17" spans="1:29">
      <c r="A17" s="40"/>
      <c r="B17" s="40" t="s">
        <v>102</v>
      </c>
      <c r="C17" s="40"/>
      <c r="D17" s="40" t="s">
        <v>102</v>
      </c>
      <c r="E17" s="40"/>
      <c r="F17" s="40" t="s">
        <v>102</v>
      </c>
      <c r="G17" s="40"/>
      <c r="H17" s="40"/>
      <c r="X17" s="107" t="s">
        <v>316</v>
      </c>
      <c r="Y17" s="114">
        <v>1763.9</v>
      </c>
      <c r="Z17" s="107" t="s">
        <v>317</v>
      </c>
      <c r="AA17" s="96" t="s">
        <v>323</v>
      </c>
      <c r="AB17" s="112">
        <f>10*LOG10(Y16/Y15)</f>
        <v>-6.0205999132796242</v>
      </c>
      <c r="AC17" s="107" t="s">
        <v>320</v>
      </c>
    </row>
    <row r="18" spans="1:29">
      <c r="A18" s="40"/>
      <c r="B18" s="40"/>
      <c r="C18" s="40"/>
      <c r="D18" s="40"/>
      <c r="E18" s="40"/>
      <c r="F18" s="40"/>
      <c r="G18" s="40"/>
      <c r="H18" s="40"/>
    </row>
    <row r="19" spans="1:29">
      <c r="A19" s="40"/>
      <c r="B19" s="40"/>
      <c r="C19" s="40"/>
      <c r="D19" s="40"/>
      <c r="E19" s="40"/>
      <c r="F19" s="40"/>
      <c r="G19" s="40"/>
      <c r="H19" s="40"/>
    </row>
    <row r="20" spans="1:29">
      <c r="A20" s="40"/>
      <c r="B20" s="40" t="s">
        <v>105</v>
      </c>
      <c r="C20" s="40"/>
      <c r="D20" s="40"/>
      <c r="E20" s="40"/>
      <c r="F20" s="40"/>
      <c r="G20" s="40"/>
      <c r="H20" s="40"/>
    </row>
    <row r="21" spans="1:29">
      <c r="A21" s="40"/>
      <c r="B21" s="40"/>
      <c r="C21" s="40" t="s">
        <v>94</v>
      </c>
      <c r="D21" s="40"/>
      <c r="E21" s="40" t="s">
        <v>104</v>
      </c>
      <c r="F21" s="40"/>
      <c r="G21" s="40" t="s">
        <v>106</v>
      </c>
      <c r="H21" s="40"/>
      <c r="K21" s="56" t="s">
        <v>97</v>
      </c>
      <c r="O21" s="56" t="s">
        <v>97</v>
      </c>
    </row>
    <row r="22" spans="1:29">
      <c r="A22" s="40"/>
      <c r="B22" s="40" t="s">
        <v>84</v>
      </c>
      <c r="C22" s="40">
        <f>VLOOKUP(7,Norma!$A$25:$J$28,3,FALSE)*1000*$B$1/(2*PI()*$B$3)</f>
        <v>99567.332398289727</v>
      </c>
      <c r="D22" s="40" t="s">
        <v>86</v>
      </c>
      <c r="E22" s="40">
        <f>VLOOKUP(7,Norma!$A$25:$J$28,5,FALSE)*1000*$B$1/(2*PI()*$B$3)</f>
        <v>111981.41795945757</v>
      </c>
      <c r="F22" s="40" t="s">
        <v>88</v>
      </c>
      <c r="G22" s="40">
        <f>VLOOKUP(7,Norma!$A$25:$J$28,7,FALSE)*1000*$B$1/(2*PI()*$B$3)</f>
        <v>99567.332398289727</v>
      </c>
      <c r="H22" s="40" t="s">
        <v>90</v>
      </c>
      <c r="I22" s="34" t="s">
        <v>98</v>
      </c>
      <c r="K22" s="34" t="s">
        <v>94</v>
      </c>
      <c r="L22" s="34" t="s">
        <v>99</v>
      </c>
      <c r="M22" s="34" t="s">
        <v>98</v>
      </c>
      <c r="O22" s="34" t="s">
        <v>104</v>
      </c>
      <c r="P22" s="34" t="s">
        <v>99</v>
      </c>
      <c r="Q22" s="34" t="s">
        <v>98</v>
      </c>
    </row>
    <row r="23" spans="1:29">
      <c r="A23" s="40"/>
      <c r="B23" s="40">
        <f>VLOOKUP(7,Norma!$A$25:$J$28,2,FALSE)*1000000/($B$1*2*PI()*$B$3)</f>
        <v>1792.0846592147416</v>
      </c>
      <c r="C23" s="40" t="s">
        <v>101</v>
      </c>
      <c r="D23" s="40">
        <f>VLOOKUP(7,Norma!$A$25:$J$28,4,FALSE)*1000000/($B$1*2*PI()*$B$3)</f>
        <v>3401.1411338738035</v>
      </c>
      <c r="E23" s="40" t="s">
        <v>101</v>
      </c>
      <c r="F23" s="40">
        <f>VLOOKUP(7,Norma!$A$25:$J$28,6,FALSE)*1000000/($B$1*2*PI()*$B$3)</f>
        <v>3401.1411338738035</v>
      </c>
      <c r="G23" s="40" t="s">
        <v>101</v>
      </c>
      <c r="H23" s="40">
        <f>VLOOKUP(7,Norma!$A$25:$J$28,8,FALSE)*1000000/($B$1*2*PI()*$B$3)</f>
        <v>1792.0846592147416</v>
      </c>
      <c r="I23" s="34" t="s">
        <v>84</v>
      </c>
      <c r="J23" s="34" t="s">
        <v>100</v>
      </c>
      <c r="K23" s="91">
        <f>C15</f>
        <v>102877.75521460114</v>
      </c>
      <c r="L23" s="95">
        <f>1000000000/((2*PI()*$B$5)^2*K23)</f>
        <v>18.568433207972053</v>
      </c>
      <c r="M23" s="34" t="s">
        <v>86</v>
      </c>
      <c r="N23" s="34" t="s">
        <v>100</v>
      </c>
      <c r="O23" s="91">
        <f>E15</f>
        <v>102877.75521460114</v>
      </c>
      <c r="P23" s="95">
        <f>1000000000/((2*PI()*$B$5)^2*O23)</f>
        <v>18.568433207972053</v>
      </c>
      <c r="Q23" s="34" t="s">
        <v>88</v>
      </c>
      <c r="R23" s="34" t="s">
        <v>100</v>
      </c>
    </row>
    <row r="24" spans="1:29">
      <c r="I24" s="95">
        <f>B16</f>
        <v>1868.4790318988512</v>
      </c>
      <c r="J24" s="91">
        <f>1000000000/((2*PI()*$B$5)^2*I24)</f>
        <v>1022.370973222584</v>
      </c>
      <c r="K24" s="23" t="s">
        <v>101</v>
      </c>
      <c r="L24" s="23" t="s">
        <v>102</v>
      </c>
      <c r="M24" s="95">
        <f>D16</f>
        <v>3420.2397270448309</v>
      </c>
      <c r="N24" s="91">
        <f>1000000000/((2*PI()*$B$5)^2*M24)</f>
        <v>558.52188113695365</v>
      </c>
      <c r="O24" s="23" t="s">
        <v>101</v>
      </c>
      <c r="P24" s="23" t="s">
        <v>102</v>
      </c>
      <c r="Q24" s="95">
        <f>F16</f>
        <v>1868.4790318988512</v>
      </c>
      <c r="R24" s="91">
        <f>1000000000/((2*PI()*$B$5)^2*Q24)</f>
        <v>1022.370973222584</v>
      </c>
    </row>
    <row r="25" spans="1:29">
      <c r="I25" s="23" t="s">
        <v>102</v>
      </c>
      <c r="J25" s="23" t="s">
        <v>101</v>
      </c>
      <c r="M25" s="23" t="s">
        <v>102</v>
      </c>
      <c r="N25" s="23" t="s">
        <v>101</v>
      </c>
      <c r="Q25" s="23" t="s">
        <v>102</v>
      </c>
      <c r="R25" s="23" t="s">
        <v>101</v>
      </c>
    </row>
    <row r="30" spans="1:29">
      <c r="K30" s="56" t="s">
        <v>97</v>
      </c>
      <c r="O30" s="56" t="s">
        <v>97</v>
      </c>
      <c r="S30" s="56" t="s">
        <v>97</v>
      </c>
    </row>
    <row r="31" spans="1:29">
      <c r="I31" s="34" t="s">
        <v>98</v>
      </c>
      <c r="K31" s="34" t="s">
        <v>94</v>
      </c>
      <c r="L31" s="34" t="s">
        <v>99</v>
      </c>
      <c r="M31" s="34" t="s">
        <v>98</v>
      </c>
      <c r="O31" s="34" t="s">
        <v>104</v>
      </c>
      <c r="P31" s="34" t="s">
        <v>99</v>
      </c>
      <c r="Q31" s="34" t="s">
        <v>98</v>
      </c>
      <c r="S31" s="34" t="s">
        <v>106</v>
      </c>
      <c r="T31" s="34" t="s">
        <v>99</v>
      </c>
      <c r="U31" s="34" t="s">
        <v>98</v>
      </c>
    </row>
    <row r="32" spans="1:29">
      <c r="I32" s="34" t="s">
        <v>84</v>
      </c>
      <c r="J32" s="34" t="s">
        <v>100</v>
      </c>
      <c r="K32" s="91">
        <f>C22</f>
        <v>99567.332398289727</v>
      </c>
      <c r="L32" s="95">
        <f>1000000000/((2*PI()*$B$5)^2*K32)</f>
        <v>19.185797994937875</v>
      </c>
      <c r="M32" s="34" t="s">
        <v>86</v>
      </c>
      <c r="N32" s="34" t="s">
        <v>100</v>
      </c>
      <c r="O32" s="91">
        <f>E22</f>
        <v>111981.41795945757</v>
      </c>
      <c r="P32" s="95">
        <f>1000000000/((2*PI()*$B$5)^2*O32)</f>
        <v>17.05889031499877</v>
      </c>
      <c r="Q32" s="34" t="s">
        <v>88</v>
      </c>
      <c r="R32" s="34" t="s">
        <v>100</v>
      </c>
      <c r="S32" s="91">
        <f>G22</f>
        <v>99567.332398289727</v>
      </c>
      <c r="T32" s="95">
        <f>1000000000/((2*PI()*$B$5)^2*S32)</f>
        <v>19.185797994937875</v>
      </c>
      <c r="U32" s="34" t="s">
        <v>90</v>
      </c>
      <c r="V32" s="34" t="s">
        <v>100</v>
      </c>
    </row>
    <row r="33" spans="9:22">
      <c r="I33" s="95">
        <f>B23</f>
        <v>1792.0846592147416</v>
      </c>
      <c r="J33" s="91">
        <f>1000000000/((2*PI()*$B$5)^2*I33)</f>
        <v>1065.9533948164417</v>
      </c>
      <c r="K33" s="23" t="s">
        <v>101</v>
      </c>
      <c r="L33" s="23" t="s">
        <v>102</v>
      </c>
      <c r="M33" s="95">
        <f>D23</f>
        <v>3401.1411338738035</v>
      </c>
      <c r="N33" s="91">
        <f>1000000000/((2*PI()*$B$5)^2*M33)</f>
        <v>561.65817621119027</v>
      </c>
      <c r="O33" s="23" t="s">
        <v>101</v>
      </c>
      <c r="P33" s="23" t="s">
        <v>102</v>
      </c>
      <c r="Q33" s="95">
        <f>F23</f>
        <v>3401.1411338738035</v>
      </c>
      <c r="R33" s="91">
        <f>1000000000/((2*PI()*$B$5)^2*Q33)</f>
        <v>561.65817621119027</v>
      </c>
      <c r="S33" s="23" t="s">
        <v>101</v>
      </c>
      <c r="T33" s="23" t="s">
        <v>102</v>
      </c>
      <c r="U33" s="95">
        <f>H23</f>
        <v>1792.0846592147416</v>
      </c>
      <c r="V33" s="91">
        <f>1000000000/((2*PI()*$B$5)^2*U33)</f>
        <v>1065.9533948164417</v>
      </c>
    </row>
    <row r="34" spans="9:22">
      <c r="I34" s="23" t="s">
        <v>102</v>
      </c>
      <c r="J34" s="23" t="s">
        <v>101</v>
      </c>
      <c r="M34" s="105" t="s">
        <v>102</v>
      </c>
      <c r="N34" s="23" t="s">
        <v>101</v>
      </c>
      <c r="Q34" s="23" t="s">
        <v>102</v>
      </c>
      <c r="R34" s="23" t="s">
        <v>101</v>
      </c>
      <c r="U34" s="23" t="s">
        <v>102</v>
      </c>
      <c r="V34" s="23" t="s">
        <v>101</v>
      </c>
    </row>
  </sheetData>
  <sheetProtection algorithmName="SHA-512" hashValue="RSXkHUDnjvH6L50Cl9EDvORJEiHnofj3ZK5aNF3KquUmsCqOSPbWKRMuQmNAA3doIu3xKiCf4mCsmkd447RN/A==" saltValue="0efL5t8l3VGrodQYScorfw==" spinCount="100000" sheet="1" objects="1" scenarios="1"/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opLeftCell="A7" workbookViewId="0">
      <selection activeCell="J1" sqref="J1"/>
    </sheetView>
  </sheetViews>
  <sheetFormatPr defaultRowHeight="13.5"/>
  <cols>
    <col min="1" max="1" width="13.25" style="34" customWidth="1"/>
    <col min="2" max="2" width="5.625" style="34" customWidth="1"/>
    <col min="3" max="3" width="4.375" style="34" customWidth="1"/>
    <col min="4" max="4" width="2.875" style="34" customWidth="1"/>
    <col min="5" max="5" width="1.875" style="34" customWidth="1"/>
    <col min="6" max="6" width="2" style="34" customWidth="1"/>
    <col min="7" max="7" width="1.875" style="34" customWidth="1"/>
    <col min="8" max="8" width="2.5" style="34" customWidth="1"/>
    <col min="9" max="9" width="2.25" style="34" customWidth="1"/>
    <col min="10" max="22" width="9" style="34"/>
    <col min="23" max="23" width="20.5" style="34" customWidth="1"/>
    <col min="24" max="16384" width="9" style="34"/>
  </cols>
  <sheetData>
    <row r="1" spans="1:26">
      <c r="A1" s="86" t="s">
        <v>109</v>
      </c>
      <c r="B1" s="84">
        <v>200</v>
      </c>
      <c r="C1" s="86" t="s">
        <v>79</v>
      </c>
    </row>
    <row r="2" spans="1:26" ht="17.25">
      <c r="A2" s="86" t="s">
        <v>110</v>
      </c>
      <c r="B2" s="84">
        <v>3.65</v>
      </c>
      <c r="C2" s="86" t="s">
        <v>81</v>
      </c>
      <c r="J2" s="97" t="s">
        <v>118</v>
      </c>
    </row>
    <row r="3" spans="1:26">
      <c r="A3" s="86" t="s">
        <v>111</v>
      </c>
      <c r="B3" s="84">
        <v>0.5</v>
      </c>
      <c r="C3" s="86" t="s">
        <v>81</v>
      </c>
      <c r="L3" s="34" t="s">
        <v>264</v>
      </c>
    </row>
    <row r="4" spans="1:26" ht="14.25">
      <c r="R4" s="45" t="s">
        <v>299</v>
      </c>
    </row>
    <row r="5" spans="1:26">
      <c r="A5" s="40" t="s">
        <v>112</v>
      </c>
      <c r="B5" s="40">
        <f>SQRT((B2+B3/2)*(B2-B3/2))</f>
        <v>3.6414282912066249</v>
      </c>
      <c r="C5" s="40" t="s">
        <v>134</v>
      </c>
      <c r="D5" s="40"/>
      <c r="E5" s="40"/>
      <c r="F5" s="40"/>
      <c r="G5" s="40"/>
      <c r="H5" s="40"/>
      <c r="I5" s="40"/>
      <c r="R5" s="40" t="s">
        <v>292</v>
      </c>
      <c r="S5" s="40">
        <f>SQRT(K9/L8)</f>
        <v>8.9936513734015927E-2</v>
      </c>
      <c r="T5" s="40" t="s">
        <v>294</v>
      </c>
      <c r="U5" s="40">
        <f>M8*2</f>
        <v>40.576860127224933</v>
      </c>
      <c r="V5" s="40"/>
      <c r="W5" s="40">
        <f>U5*(S5-1)/S5</f>
        <v>-410.59539953173373</v>
      </c>
      <c r="X5" s="40">
        <f>U5/S5</f>
        <v>451.17225965895864</v>
      </c>
      <c r="Y5" s="40">
        <f>-(S5-1)*U5/S5^2</f>
        <v>4565.3915465975824</v>
      </c>
    </row>
    <row r="6" spans="1:26">
      <c r="A6" s="40"/>
      <c r="B6" s="40"/>
      <c r="C6" s="40"/>
      <c r="D6" s="40"/>
      <c r="E6" s="40"/>
      <c r="F6" s="40"/>
      <c r="G6" s="40"/>
      <c r="H6" s="40"/>
      <c r="I6" s="40"/>
      <c r="L6" s="56" t="s">
        <v>119</v>
      </c>
      <c r="T6" s="56" t="s">
        <v>139</v>
      </c>
      <c r="V6" s="56" t="s">
        <v>100</v>
      </c>
      <c r="X6" s="56" t="s">
        <v>88</v>
      </c>
    </row>
    <row r="7" spans="1:26">
      <c r="A7" s="40"/>
      <c r="B7" s="40" t="s">
        <v>95</v>
      </c>
      <c r="C7" s="40"/>
      <c r="D7" s="40"/>
      <c r="E7" s="40"/>
      <c r="F7" s="40"/>
      <c r="G7" s="40"/>
      <c r="H7" s="40"/>
      <c r="I7" s="40"/>
      <c r="J7" s="56" t="s">
        <v>98</v>
      </c>
      <c r="L7" s="56" t="s">
        <v>94</v>
      </c>
      <c r="M7" s="56" t="s">
        <v>99</v>
      </c>
      <c r="N7" s="56" t="s">
        <v>98</v>
      </c>
      <c r="R7" s="56" t="s">
        <v>100</v>
      </c>
      <c r="S7" s="56" t="s">
        <v>84</v>
      </c>
      <c r="T7" s="100">
        <f>U5/S5</f>
        <v>451.17225965895864</v>
      </c>
      <c r="U7" s="56" t="s">
        <v>86</v>
      </c>
      <c r="V7" s="104">
        <f>R8</f>
        <v>761.58852954524968</v>
      </c>
      <c r="W7" s="56" t="s">
        <v>289</v>
      </c>
      <c r="X7" s="100">
        <f>U5/S5</f>
        <v>451.17225965895864</v>
      </c>
      <c r="Y7" s="56" t="s">
        <v>290</v>
      </c>
      <c r="Z7" s="56" t="s">
        <v>100</v>
      </c>
    </row>
    <row r="8" spans="1:26">
      <c r="A8" s="40"/>
      <c r="B8" s="40"/>
      <c r="C8" s="40" t="s">
        <v>94</v>
      </c>
      <c r="D8" s="40"/>
      <c r="E8" s="40"/>
      <c r="F8" s="40"/>
      <c r="G8" s="40"/>
      <c r="H8" s="40"/>
      <c r="I8" s="40"/>
      <c r="J8" s="56" t="s">
        <v>84</v>
      </c>
      <c r="K8" s="56" t="s">
        <v>100</v>
      </c>
      <c r="L8" s="91">
        <f>C9</f>
        <v>94156.064333165283</v>
      </c>
      <c r="M8" s="95">
        <f>1000000000/((2*PI()*$B$5)^2*L8)</f>
        <v>20.288430063612466</v>
      </c>
      <c r="N8" s="56" t="s">
        <v>86</v>
      </c>
      <c r="O8" s="56" t="s">
        <v>100</v>
      </c>
      <c r="R8" s="104">
        <f>K9</f>
        <v>761.58852954524968</v>
      </c>
      <c r="S8" s="100">
        <f>J9+U5*(S5-1)/S5</f>
        <v>2097.686503596537</v>
      </c>
      <c r="T8" s="23" t="s">
        <v>102</v>
      </c>
      <c r="U8" s="100">
        <f>-U5*(S5-1)/S5^2</f>
        <v>4565.3915465975824</v>
      </c>
      <c r="V8" s="23" t="s">
        <v>101</v>
      </c>
      <c r="W8" s="100">
        <f>-(S5-1)*U5/S5^2</f>
        <v>4565.3915465975824</v>
      </c>
      <c r="X8" s="23" t="s">
        <v>102</v>
      </c>
      <c r="Y8" s="100">
        <f>N9+U5*(S5-1)/S5</f>
        <v>2097.686503596537</v>
      </c>
      <c r="Z8" s="104">
        <f>O9</f>
        <v>761.58852954524968</v>
      </c>
    </row>
    <row r="9" spans="1:26">
      <c r="A9" s="40"/>
      <c r="B9" s="40" t="s">
        <v>84</v>
      </c>
      <c r="C9" s="40">
        <f>VLOOKUP(3,Norma!$A$31:$J$34,3,FALSE)*1000*$B$1/(2*PI()*$B$3)</f>
        <v>94156.064333165283</v>
      </c>
      <c r="D9" s="40" t="s">
        <v>86</v>
      </c>
      <c r="E9" s="40"/>
      <c r="F9" s="40"/>
      <c r="G9" s="40"/>
      <c r="H9" s="40"/>
      <c r="I9" s="40"/>
      <c r="J9" s="95">
        <f>B10</f>
        <v>2508.2819031282706</v>
      </c>
      <c r="K9" s="91">
        <f>1000000000/((2*PI()*$B$5)^2*J9)</f>
        <v>761.58852954524968</v>
      </c>
      <c r="L9" s="23" t="s">
        <v>101</v>
      </c>
      <c r="M9" s="23" t="s">
        <v>102</v>
      </c>
      <c r="N9" s="95">
        <f>D10</f>
        <v>2508.2819031282706</v>
      </c>
      <c r="O9" s="91">
        <f>1000000000/((2*PI()*$B$5)^2*N9)</f>
        <v>761.58852954524968</v>
      </c>
      <c r="R9" s="23" t="s">
        <v>101</v>
      </c>
      <c r="S9" s="23" t="s">
        <v>102</v>
      </c>
      <c r="U9" s="23" t="s">
        <v>102</v>
      </c>
      <c r="V9" s="23"/>
      <c r="W9" s="23" t="s">
        <v>102</v>
      </c>
      <c r="X9" s="23"/>
      <c r="Y9" s="23" t="s">
        <v>102</v>
      </c>
      <c r="Z9" s="23" t="s">
        <v>101</v>
      </c>
    </row>
    <row r="10" spans="1:26">
      <c r="A10" s="40"/>
      <c r="B10" s="40">
        <f>VLOOKUP(3,Norma!$A$31:$J$34,2,FALSE)*1000000/($B$1*2*PI()*$B$3)</f>
        <v>2508.2819031282706</v>
      </c>
      <c r="C10" s="40" t="s">
        <v>101</v>
      </c>
      <c r="D10" s="40">
        <f>VLOOKUP(3,Norma!$A$31:$J$34,4,FALSE)*1000000/($B$1*2*PI()*$B$3)</f>
        <v>2508.2819031282706</v>
      </c>
      <c r="E10" s="40"/>
      <c r="F10" s="40"/>
      <c r="G10" s="40"/>
      <c r="H10" s="40"/>
      <c r="I10" s="40"/>
      <c r="J10" s="23" t="s">
        <v>102</v>
      </c>
      <c r="K10" s="23" t="s">
        <v>101</v>
      </c>
      <c r="N10" s="23" t="s">
        <v>102</v>
      </c>
      <c r="O10" s="23" t="s">
        <v>101</v>
      </c>
    </row>
    <row r="11" spans="1:26">
      <c r="A11" s="40"/>
      <c r="B11" s="40" t="s">
        <v>102</v>
      </c>
      <c r="C11" s="40"/>
      <c r="D11" s="40" t="s">
        <v>102</v>
      </c>
      <c r="E11" s="40"/>
      <c r="F11" s="40"/>
      <c r="G11" s="40"/>
      <c r="H11" s="40"/>
      <c r="I11" s="40"/>
    </row>
    <row r="12" spans="1:26">
      <c r="A12" s="40"/>
      <c r="B12" s="40"/>
      <c r="C12" s="40"/>
      <c r="D12" s="40"/>
      <c r="E12" s="40"/>
      <c r="F12" s="40"/>
      <c r="G12" s="40"/>
      <c r="H12" s="40"/>
      <c r="I12" s="40"/>
    </row>
    <row r="13" spans="1:26">
      <c r="A13" s="40"/>
      <c r="B13" s="40"/>
      <c r="C13" s="40"/>
      <c r="D13" s="40"/>
      <c r="E13" s="40"/>
      <c r="F13" s="40"/>
      <c r="G13" s="40"/>
      <c r="H13" s="40"/>
      <c r="I13" s="40"/>
    </row>
    <row r="14" spans="1:26">
      <c r="A14" s="40"/>
      <c r="B14" s="40" t="s">
        <v>103</v>
      </c>
      <c r="C14" s="40"/>
      <c r="D14" s="40"/>
      <c r="E14" s="40"/>
      <c r="F14" s="40"/>
      <c r="G14" s="40"/>
      <c r="H14" s="40"/>
      <c r="I14" s="40"/>
    </row>
    <row r="15" spans="1:26">
      <c r="A15" s="40"/>
      <c r="B15" s="40"/>
      <c r="C15" s="40" t="s">
        <v>94</v>
      </c>
      <c r="D15" s="40"/>
      <c r="E15" s="40" t="s">
        <v>104</v>
      </c>
      <c r="F15" s="40"/>
      <c r="G15" s="40"/>
      <c r="H15" s="40"/>
      <c r="I15" s="40"/>
    </row>
    <row r="16" spans="1:26">
      <c r="A16" s="40"/>
      <c r="B16" s="40" t="s">
        <v>84</v>
      </c>
      <c r="C16" s="40">
        <f>VLOOKUP(5,Norma!$A$31:$J$34,3,FALSE)*1000*$B$1/(2*PI()*$B$3)</f>
        <v>93583.106538034466</v>
      </c>
      <c r="D16" s="40" t="s">
        <v>86</v>
      </c>
      <c r="E16" s="40">
        <f>VLOOKUP(5,Norma!$A$31:$J$34,5,FALSE)*1000*$B$1/(2*PI()*$B$3)</f>
        <v>93583.106538034466</v>
      </c>
      <c r="F16" s="40" t="s">
        <v>88</v>
      </c>
      <c r="G16" s="40"/>
      <c r="H16" s="40"/>
      <c r="I16" s="40"/>
    </row>
    <row r="17" spans="1:28">
      <c r="A17" s="40"/>
      <c r="B17" s="40">
        <f>VLOOKUP(5,Norma!$A$31:$J$34,2,FALSE)*1000000/($B$1*2*PI()*$B$3)</f>
        <v>2342.7607623126992</v>
      </c>
      <c r="C17" s="40" t="s">
        <v>101</v>
      </c>
      <c r="D17" s="40">
        <f>VLOOKUP(5,Norma!$A$31:$J$34,4,FALSE)*1000000/($B$1*2*PI()*$B$3)</f>
        <v>3789.4791950180279</v>
      </c>
      <c r="E17" s="40" t="s">
        <v>101</v>
      </c>
      <c r="F17" s="40">
        <f>VLOOKUP(5,Norma!$A$31:$J$34,6,FALSE)*1000000/($B$1*2*PI()*$B$3)</f>
        <v>2342.7607623126992</v>
      </c>
      <c r="G17" s="40"/>
      <c r="H17" s="40"/>
      <c r="I17" s="40"/>
    </row>
    <row r="18" spans="1:28">
      <c r="A18" s="40"/>
      <c r="B18" s="40" t="s">
        <v>102</v>
      </c>
      <c r="C18" s="40"/>
      <c r="D18" s="40" t="s">
        <v>102</v>
      </c>
      <c r="E18" s="40"/>
      <c r="F18" s="40" t="s">
        <v>102</v>
      </c>
      <c r="G18" s="40"/>
      <c r="H18" s="40"/>
      <c r="I18" s="40"/>
    </row>
    <row r="19" spans="1:28">
      <c r="A19" s="40"/>
      <c r="B19" s="40"/>
      <c r="C19" s="40"/>
      <c r="D19" s="40"/>
      <c r="E19" s="40"/>
      <c r="F19" s="40"/>
      <c r="G19" s="40"/>
      <c r="H19" s="40"/>
      <c r="I19" s="40"/>
      <c r="L19" s="56" t="s">
        <v>119</v>
      </c>
      <c r="P19" s="56" t="s">
        <v>119</v>
      </c>
    </row>
    <row r="20" spans="1:28" ht="17.25">
      <c r="A20" s="40"/>
      <c r="B20" s="40"/>
      <c r="C20" s="40"/>
      <c r="D20" s="40"/>
      <c r="E20" s="40"/>
      <c r="F20" s="40"/>
      <c r="G20" s="40"/>
      <c r="H20" s="40"/>
      <c r="I20" s="40"/>
      <c r="J20" s="56" t="s">
        <v>98</v>
      </c>
      <c r="L20" s="56" t="s">
        <v>94</v>
      </c>
      <c r="M20" s="56" t="s">
        <v>99</v>
      </c>
      <c r="N20" s="56" t="s">
        <v>98</v>
      </c>
      <c r="P20" s="56" t="s">
        <v>104</v>
      </c>
      <c r="Q20" s="56" t="s">
        <v>99</v>
      </c>
      <c r="R20" s="56" t="s">
        <v>98</v>
      </c>
      <c r="W20" s="97" t="s">
        <v>312</v>
      </c>
    </row>
    <row r="21" spans="1:28">
      <c r="A21" s="40"/>
      <c r="B21" s="40" t="s">
        <v>105</v>
      </c>
      <c r="C21" s="40"/>
      <c r="D21" s="40"/>
      <c r="E21" s="40"/>
      <c r="F21" s="40"/>
      <c r="G21" s="40"/>
      <c r="H21" s="40"/>
      <c r="I21" s="40"/>
      <c r="J21" s="56" t="s">
        <v>84</v>
      </c>
      <c r="K21" s="56" t="s">
        <v>100</v>
      </c>
      <c r="L21" s="91">
        <f>C16</f>
        <v>93583.106538034466</v>
      </c>
      <c r="M21" s="95">
        <f>1000000000/((2*PI()*$B$5)^2*L21)</f>
        <v>20.412644941552951</v>
      </c>
      <c r="N21" s="56" t="s">
        <v>86</v>
      </c>
      <c r="O21" s="56" t="s">
        <v>100</v>
      </c>
      <c r="P21" s="91">
        <f>E16</f>
        <v>93583.106538034466</v>
      </c>
      <c r="Q21" s="95">
        <f>1000000000/((2*PI()*$B$5)^2*P21)</f>
        <v>20.412644941552951</v>
      </c>
      <c r="R21" s="56" t="s">
        <v>88</v>
      </c>
      <c r="S21" s="56" t="s">
        <v>100</v>
      </c>
    </row>
    <row r="22" spans="1:28">
      <c r="A22" s="40"/>
      <c r="B22" s="40"/>
      <c r="C22" s="40" t="s">
        <v>94</v>
      </c>
      <c r="D22" s="40"/>
      <c r="E22" s="40" t="s">
        <v>104</v>
      </c>
      <c r="F22" s="40"/>
      <c r="G22" s="40" t="s">
        <v>106</v>
      </c>
      <c r="H22" s="40"/>
      <c r="I22" s="40"/>
      <c r="J22" s="95">
        <f>B17</f>
        <v>2342.7607623126992</v>
      </c>
      <c r="K22" s="91">
        <f>1000000000/((2*PI()*$B$5)^2*J22)</f>
        <v>815.39641478485976</v>
      </c>
      <c r="L22" s="23" t="s">
        <v>101</v>
      </c>
      <c r="M22" s="23" t="s">
        <v>102</v>
      </c>
      <c r="N22" s="95">
        <f>D17</f>
        <v>3789.4791950180279</v>
      </c>
      <c r="O22" s="91">
        <f>1000000000/((2*PI()*$B$5)^2*N22)</f>
        <v>504.10059746464242</v>
      </c>
      <c r="P22" s="23" t="s">
        <v>101</v>
      </c>
      <c r="Q22" s="23" t="s">
        <v>102</v>
      </c>
      <c r="R22" s="95">
        <f>F17</f>
        <v>2342.7607623126992</v>
      </c>
      <c r="S22" s="91">
        <f>1000000000/((2*PI()*$B$5)^2*R22)</f>
        <v>815.39641478485976</v>
      </c>
      <c r="W22" s="107" t="s">
        <v>313</v>
      </c>
      <c r="X22" s="114">
        <v>200</v>
      </c>
      <c r="Y22" s="107" t="s">
        <v>79</v>
      </c>
      <c r="Z22" s="108" t="s">
        <v>314</v>
      </c>
      <c r="AA22" s="111">
        <f>IF(X22&gt;X23,X24*AA23/(AA23-X24),"NG")</f>
        <v>1523.2</v>
      </c>
      <c r="AB22" s="107" t="s">
        <v>102</v>
      </c>
    </row>
    <row r="23" spans="1:28">
      <c r="A23" s="40"/>
      <c r="B23" s="40" t="s">
        <v>84</v>
      </c>
      <c r="C23" s="40">
        <f>VLOOKUP(7,Norma!$A$31:$J$34,3,FALSE)*1000*$B$1/(2*PI()*$B$3)</f>
        <v>92118.881061589025</v>
      </c>
      <c r="D23" s="40" t="s">
        <v>86</v>
      </c>
      <c r="E23" s="40">
        <f>VLOOKUP(7,Norma!$A$31:$J$34,5,FALSE)*1000*$B$1/(2*PI()*$B$3)</f>
        <v>100267.61414789407</v>
      </c>
      <c r="F23" s="40" t="s">
        <v>88</v>
      </c>
      <c r="G23" s="40">
        <f>VLOOKUP(7,Norma!$A$31:$J$34,7,FALSE)*1000*$B$1/(2*PI()*$B$3)</f>
        <v>92118.881061589025</v>
      </c>
      <c r="H23" s="40" t="s">
        <v>90</v>
      </c>
      <c r="I23" s="40"/>
      <c r="J23" s="23" t="s">
        <v>102</v>
      </c>
      <c r="K23" s="23" t="s">
        <v>101</v>
      </c>
      <c r="N23" s="23" t="s">
        <v>102</v>
      </c>
      <c r="O23" s="23" t="s">
        <v>101</v>
      </c>
      <c r="R23" s="23" t="s">
        <v>102</v>
      </c>
      <c r="S23" s="23" t="s">
        <v>101</v>
      </c>
      <c r="W23" s="107" t="s">
        <v>319</v>
      </c>
      <c r="X23" s="114">
        <v>50</v>
      </c>
      <c r="Y23" s="107" t="s">
        <v>79</v>
      </c>
      <c r="Z23" s="108" t="s">
        <v>315</v>
      </c>
      <c r="AA23" s="111">
        <f>IF(X22&gt;X23,X24*SQRT(X22/X23),"NG")</f>
        <v>1523.2</v>
      </c>
      <c r="AB23" s="107" t="s">
        <v>102</v>
      </c>
    </row>
    <row r="24" spans="1:28">
      <c r="A24" s="40"/>
      <c r="B24" s="40">
        <f>VLOOKUP(7,Norma!$A$31:$J$34,2,FALSE)*1000000/($B$1*2*PI()*$B$3)</f>
        <v>2293.4227299542117</v>
      </c>
      <c r="C24" s="40" t="s">
        <v>101</v>
      </c>
      <c r="D24" s="40">
        <f>VLOOKUP(7,Norma!$A$31:$J$34,4,FALSE)*1000000/($B$1*2*PI()*$B$3)</f>
        <v>3803.8031398962985</v>
      </c>
      <c r="E24" s="40" t="s">
        <v>101</v>
      </c>
      <c r="F24" s="40">
        <f>VLOOKUP(7,Norma!$A$31:$J$34,6,FALSE)*1000000/($B$1*2*PI()*$B$3)</f>
        <v>3803.8031398962985</v>
      </c>
      <c r="G24" s="40" t="s">
        <v>101</v>
      </c>
      <c r="H24" s="40">
        <f>VLOOKUP(7,Norma!$A$31:$J$34,8,FALSE)*1000000/($B$1*2*PI()*$B$3)</f>
        <v>2293.4227299542117</v>
      </c>
      <c r="I24" s="40"/>
      <c r="W24" s="107" t="s">
        <v>316</v>
      </c>
      <c r="X24" s="114">
        <v>761.6</v>
      </c>
      <c r="Y24" s="107" t="s">
        <v>317</v>
      </c>
      <c r="Z24" s="96" t="s">
        <v>323</v>
      </c>
      <c r="AA24" s="112">
        <f>10*LOG10(X23/X22)</f>
        <v>-6.0205999132796242</v>
      </c>
      <c r="AB24" s="107" t="s">
        <v>320</v>
      </c>
    </row>
    <row r="34" spans="10:23">
      <c r="L34" s="56" t="s">
        <v>119</v>
      </c>
      <c r="P34" s="56" t="s">
        <v>119</v>
      </c>
      <c r="T34" s="56" t="s">
        <v>119</v>
      </c>
    </row>
    <row r="35" spans="10:23">
      <c r="J35" s="56" t="s">
        <v>98</v>
      </c>
      <c r="L35" s="56" t="s">
        <v>94</v>
      </c>
      <c r="M35" s="56" t="s">
        <v>99</v>
      </c>
      <c r="N35" s="56" t="s">
        <v>98</v>
      </c>
      <c r="P35" s="56" t="s">
        <v>104</v>
      </c>
      <c r="Q35" s="56" t="s">
        <v>99</v>
      </c>
      <c r="R35" s="56" t="s">
        <v>98</v>
      </c>
      <c r="T35" s="56" t="s">
        <v>106</v>
      </c>
      <c r="U35" s="56" t="s">
        <v>99</v>
      </c>
      <c r="V35" s="56" t="s">
        <v>98</v>
      </c>
    </row>
    <row r="36" spans="10:23">
      <c r="J36" s="56" t="s">
        <v>84</v>
      </c>
      <c r="K36" s="56" t="s">
        <v>100</v>
      </c>
      <c r="L36" s="91">
        <f>C23</f>
        <v>92118.881061589025</v>
      </c>
      <c r="M36" s="95">
        <f>1000000000/((2*PI()*$B$5)^2*L36)</f>
        <v>20.737103015952204</v>
      </c>
      <c r="N36" s="56" t="s">
        <v>86</v>
      </c>
      <c r="O36" s="56" t="s">
        <v>100</v>
      </c>
      <c r="P36" s="91">
        <f>E23</f>
        <v>100267.61414789407</v>
      </c>
      <c r="Q36" s="95">
        <f>1000000000/((2*PI()*$B$5)^2*P36)</f>
        <v>19.051801945449419</v>
      </c>
      <c r="R36" s="56" t="s">
        <v>88</v>
      </c>
      <c r="S36" s="56" t="s">
        <v>100</v>
      </c>
      <c r="T36" s="91">
        <f>G23</f>
        <v>92118.881061589025</v>
      </c>
      <c r="U36" s="95">
        <f>1000000000/((2*PI()*$B$5)^2*T36)</f>
        <v>20.737103015952204</v>
      </c>
      <c r="V36" s="34" t="s">
        <v>90</v>
      </c>
      <c r="W36" s="56" t="s">
        <v>100</v>
      </c>
    </row>
    <row r="37" spans="10:23">
      <c r="J37" s="95">
        <f>B24</f>
        <v>2293.4227299542117</v>
      </c>
      <c r="K37" s="91">
        <f>1000000000/((2*PI()*$B$5)^2*J37)</f>
        <v>832.93790601201488</v>
      </c>
      <c r="L37" s="23" t="s">
        <v>101</v>
      </c>
      <c r="M37" s="23" t="s">
        <v>102</v>
      </c>
      <c r="N37" s="95">
        <f>D24</f>
        <v>3803.8031398962985</v>
      </c>
      <c r="O37" s="91">
        <f>1000000000/((2*PI()*$B$5)^2*N37)</f>
        <v>502.20231069594712</v>
      </c>
      <c r="P37" s="23" t="s">
        <v>101</v>
      </c>
      <c r="Q37" s="23" t="s">
        <v>102</v>
      </c>
      <c r="R37" s="95">
        <f>F24</f>
        <v>3803.8031398962985</v>
      </c>
      <c r="S37" s="91">
        <f>1000000000/((2*PI()*$B$5)^2*R37)</f>
        <v>502.20231069594712</v>
      </c>
      <c r="T37" s="23" t="s">
        <v>101</v>
      </c>
      <c r="U37" s="23" t="s">
        <v>102</v>
      </c>
      <c r="V37" s="95">
        <f>H24</f>
        <v>2293.4227299542117</v>
      </c>
      <c r="W37" s="91">
        <f>1000000000/((2*PI()*$B$5)^2*V37)</f>
        <v>832.93790601201488</v>
      </c>
    </row>
    <row r="38" spans="10:23">
      <c r="J38" s="23" t="s">
        <v>102</v>
      </c>
      <c r="K38" s="23" t="s">
        <v>101</v>
      </c>
      <c r="L38" s="23"/>
      <c r="M38" s="23"/>
      <c r="N38" s="23" t="s">
        <v>102</v>
      </c>
      <c r="O38" s="23" t="s">
        <v>101</v>
      </c>
      <c r="P38" s="23"/>
      <c r="Q38" s="23"/>
      <c r="R38" s="23" t="s">
        <v>102</v>
      </c>
      <c r="S38" s="23" t="s">
        <v>101</v>
      </c>
      <c r="T38" s="23"/>
      <c r="U38" s="23"/>
      <c r="V38" s="23" t="s">
        <v>102</v>
      </c>
      <c r="W38" s="23" t="s">
        <v>101</v>
      </c>
    </row>
  </sheetData>
  <sheetProtection algorithmName="SHA-512" hashValue="MfNdT9pAfJvBi3iFX4VxKVuB4CYTnVQ8fceq3UqtGQIG3bUFdA5+btUMKHBN8kOOOKa8ZKTIye0rCS4KlQbwew==" saltValue="D8icEqS+FZbpwfBpg+CGeQ==" spinCount="100000" sheet="1" objects="1" scenarios="1"/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topLeftCell="A19" zoomScale="80" zoomScaleNormal="80" workbookViewId="0">
      <selection activeCell="K1" sqref="K1"/>
    </sheetView>
  </sheetViews>
  <sheetFormatPr defaultRowHeight="13.5"/>
  <cols>
    <col min="1" max="1" width="2.375" style="34" customWidth="1"/>
    <col min="2" max="2" width="1.875" style="34" customWidth="1"/>
    <col min="3" max="3" width="2.25" style="34" customWidth="1"/>
    <col min="4" max="4" width="1.5" style="34" customWidth="1"/>
    <col min="5" max="5" width="12.125" style="34" customWidth="1"/>
    <col min="6" max="6" width="6.75" style="34" customWidth="1"/>
    <col min="7" max="7" width="9.125" style="34" customWidth="1"/>
    <col min="8" max="8" width="6.75" style="34" customWidth="1"/>
    <col min="9" max="9" width="8.875" style="34" customWidth="1"/>
    <col min="10" max="10" width="10.5" style="34" customWidth="1"/>
    <col min="11" max="11" width="11" style="34" customWidth="1"/>
    <col min="12" max="12" width="10.375" style="34" customWidth="1"/>
    <col min="13" max="13" width="10.625" style="34" customWidth="1"/>
    <col min="14" max="14" width="10.375" style="34" customWidth="1"/>
    <col min="15" max="15" width="9.625" style="34" customWidth="1"/>
    <col min="16" max="16" width="10.375" style="34" customWidth="1"/>
    <col min="17" max="23" width="9" style="34"/>
    <col min="24" max="24" width="3.5" style="34" customWidth="1"/>
    <col min="25" max="25" width="25.625" style="34" customWidth="1"/>
    <col min="26" max="26" width="10.625" style="34" customWidth="1"/>
    <col min="27" max="27" width="9" style="34"/>
    <col min="28" max="28" width="11" style="34" customWidth="1"/>
    <col min="29" max="29" width="11.5" style="34" customWidth="1"/>
    <col min="30" max="16384" width="9" style="34"/>
  </cols>
  <sheetData>
    <row r="1" spans="1:21" ht="33.75" customHeight="1" thickBot="1">
      <c r="E1" s="38" t="s">
        <v>181</v>
      </c>
      <c r="F1" s="35">
        <v>3.65</v>
      </c>
      <c r="G1" s="39" t="s">
        <v>33</v>
      </c>
      <c r="H1" s="36">
        <v>1</v>
      </c>
      <c r="I1" s="39" t="s">
        <v>182</v>
      </c>
      <c r="J1" s="37">
        <v>50</v>
      </c>
      <c r="K1" s="40" t="s">
        <v>183</v>
      </c>
      <c r="L1" s="41">
        <v>0.1</v>
      </c>
      <c r="N1" s="42" t="s">
        <v>185</v>
      </c>
      <c r="Q1" s="43"/>
    </row>
    <row r="2" spans="1:21" ht="16.5" customHeight="1">
      <c r="F2" s="44" t="s">
        <v>186</v>
      </c>
      <c r="G2" s="45"/>
      <c r="H2" s="44" t="s">
        <v>186</v>
      </c>
      <c r="I2" s="45"/>
      <c r="J2" s="44" t="s">
        <v>187</v>
      </c>
      <c r="K2" s="40"/>
      <c r="L2" s="46" t="s">
        <v>188</v>
      </c>
      <c r="Q2" s="47" t="s">
        <v>190</v>
      </c>
      <c r="U2" s="34" t="s">
        <v>191</v>
      </c>
    </row>
    <row r="3" spans="1:21" ht="14.25">
      <c r="E3" s="48" t="s">
        <v>192</v>
      </c>
      <c r="F3" s="40">
        <f>SQRT((F1-H1/2)*(F1+H1/2))</f>
        <v>3.6155912379581849</v>
      </c>
      <c r="H3" s="49" t="s">
        <v>184</v>
      </c>
    </row>
    <row r="4" spans="1:21" ht="14.25">
      <c r="E4" s="40"/>
      <c r="F4" s="46" t="s">
        <v>186</v>
      </c>
      <c r="M4" s="23"/>
      <c r="R4" s="50" t="s">
        <v>189</v>
      </c>
    </row>
    <row r="5" spans="1:21" ht="14.25">
      <c r="J5" s="50" t="s">
        <v>142</v>
      </c>
    </row>
    <row r="6" spans="1:21">
      <c r="A6" s="40" t="s">
        <v>194</v>
      </c>
      <c r="B6" s="40" t="s">
        <v>195</v>
      </c>
      <c r="C6" s="40"/>
      <c r="D6" s="40"/>
      <c r="E6" s="40" t="s">
        <v>196</v>
      </c>
      <c r="F6" s="40"/>
      <c r="G6" s="40"/>
      <c r="H6" s="40" t="s">
        <v>197</v>
      </c>
      <c r="I6" s="40"/>
      <c r="K6" s="51" t="s">
        <v>283</v>
      </c>
      <c r="L6" s="51" t="s">
        <v>284</v>
      </c>
      <c r="M6" s="52"/>
      <c r="N6" s="51" t="s">
        <v>198</v>
      </c>
    </row>
    <row r="7" spans="1:21">
      <c r="A7" s="40">
        <f>VLOOKUP(2,Norma!$A$8:$K$16,2,FALSE)</f>
        <v>1.4141999999999999</v>
      </c>
      <c r="B7" s="40">
        <f>VLOOKUP(2,Norma!$A$8:$K$16,3,FALSE)</f>
        <v>1.4141999999999999</v>
      </c>
      <c r="C7" s="40"/>
      <c r="D7" s="40"/>
      <c r="E7" s="40">
        <f>1/SQRT(A7*B7)</f>
        <v>0.70711356243812762</v>
      </c>
      <c r="F7" s="40"/>
      <c r="G7" s="40"/>
      <c r="H7" s="40">
        <f>$H$1*$E$7/$F$3</f>
        <v>0.19557342517442663</v>
      </c>
      <c r="I7" s="40"/>
      <c r="K7" s="53">
        <f>2*PI()*$F$3^2*$L$1*A7/$H$1</f>
        <v>11.615806044632627</v>
      </c>
      <c r="L7" s="53">
        <f>2*PI()*$F$3^2*$L$1*B7/$H$1</f>
        <v>11.615806044632627</v>
      </c>
      <c r="M7" s="40">
        <f>1000000/((2*PI()*$F$3)^2*$L$1)</f>
        <v>19376.780195513053</v>
      </c>
      <c r="N7" s="53">
        <f>M7*H7</f>
        <v>3789.5832716884838</v>
      </c>
    </row>
    <row r="8" spans="1:21">
      <c r="A8" s="40"/>
      <c r="B8" s="40"/>
      <c r="C8" s="40"/>
      <c r="D8" s="40"/>
      <c r="E8" s="40"/>
      <c r="F8" s="40"/>
      <c r="G8" s="40"/>
      <c r="H8" s="40"/>
      <c r="I8" s="40"/>
      <c r="K8" s="54">
        <f>I9*K7</f>
        <v>50</v>
      </c>
      <c r="L8" s="54">
        <f>I9*L7</f>
        <v>50</v>
      </c>
      <c r="N8" s="55">
        <f>N7/I9</f>
        <v>880.38128547835561</v>
      </c>
    </row>
    <row r="9" spans="1:21">
      <c r="A9" s="40"/>
      <c r="B9" s="40"/>
      <c r="C9" s="40"/>
      <c r="D9" s="40"/>
      <c r="E9" s="40"/>
      <c r="F9" s="40"/>
      <c r="G9" s="40"/>
      <c r="H9" s="40" t="s">
        <v>199</v>
      </c>
      <c r="I9" s="40">
        <f>$J$1/K7</f>
        <v>4.3044795865116692</v>
      </c>
      <c r="K9" s="23" t="s">
        <v>187</v>
      </c>
      <c r="L9" s="23" t="s">
        <v>187</v>
      </c>
      <c r="M9" s="23"/>
      <c r="N9" s="23" t="s">
        <v>200</v>
      </c>
    </row>
    <row r="10" spans="1:21">
      <c r="A10" s="40"/>
      <c r="B10" s="40"/>
      <c r="C10" s="40"/>
      <c r="D10" s="40"/>
      <c r="E10" s="40"/>
      <c r="F10" s="40"/>
      <c r="G10" s="40"/>
      <c r="H10" s="40"/>
      <c r="I10" s="40"/>
      <c r="L10" s="56"/>
      <c r="M10" s="56"/>
    </row>
    <row r="11" spans="1:21" ht="14.25">
      <c r="A11" s="40"/>
      <c r="B11" s="40"/>
      <c r="C11" s="40"/>
      <c r="D11" s="40"/>
      <c r="E11" s="40"/>
      <c r="F11" s="40"/>
      <c r="G11" s="40"/>
      <c r="H11" s="40"/>
      <c r="I11" s="40"/>
      <c r="J11" s="57" t="s">
        <v>201</v>
      </c>
      <c r="K11" s="56" t="s">
        <v>202</v>
      </c>
      <c r="L11" s="53">
        <f>M7-N7</f>
        <v>15587.196923824569</v>
      </c>
      <c r="M11" s="53">
        <f>M7-N7</f>
        <v>15587.196923824569</v>
      </c>
    </row>
    <row r="12" spans="1:21" ht="14.25">
      <c r="A12" s="40"/>
      <c r="B12" s="40"/>
      <c r="C12" s="40"/>
      <c r="D12" s="40"/>
      <c r="E12" s="40"/>
      <c r="F12" s="40"/>
      <c r="G12" s="40"/>
      <c r="H12" s="40"/>
      <c r="I12" s="40"/>
      <c r="K12" s="58">
        <f>I9*$L$1</f>
        <v>0.43044795865116692</v>
      </c>
      <c r="L12" s="59">
        <f>L11/I9</f>
        <v>3621.1571249328108</v>
      </c>
      <c r="M12" s="59">
        <f>M11/I9</f>
        <v>3621.1571249328108</v>
      </c>
    </row>
    <row r="13" spans="1:21" ht="14.25">
      <c r="A13" s="40"/>
      <c r="B13" s="40"/>
      <c r="C13" s="40"/>
      <c r="D13" s="40"/>
      <c r="E13" s="40"/>
      <c r="F13" s="40"/>
      <c r="G13" s="40"/>
      <c r="H13" s="40"/>
      <c r="I13" s="40"/>
      <c r="K13" s="60" t="s">
        <v>203</v>
      </c>
      <c r="L13" s="23" t="s">
        <v>114</v>
      </c>
      <c r="M13" s="23" t="s">
        <v>114</v>
      </c>
      <c r="N13" s="61"/>
    </row>
    <row r="14" spans="1:21">
      <c r="A14" s="40"/>
      <c r="B14" s="40"/>
      <c r="C14" s="40"/>
      <c r="D14" s="40"/>
      <c r="E14" s="40"/>
      <c r="F14" s="40"/>
      <c r="G14" s="40"/>
      <c r="H14" s="40"/>
      <c r="I14" s="40"/>
    </row>
    <row r="15" spans="1:21">
      <c r="A15" s="40"/>
      <c r="B15" s="40"/>
      <c r="C15" s="40"/>
      <c r="D15" s="40"/>
      <c r="E15" s="40"/>
      <c r="F15" s="40"/>
      <c r="G15" s="40"/>
      <c r="H15" s="40"/>
      <c r="I15" s="40"/>
    </row>
    <row r="16" spans="1:21">
      <c r="A16" s="40"/>
      <c r="B16" s="40"/>
      <c r="C16" s="40"/>
      <c r="D16" s="40"/>
      <c r="E16" s="40"/>
      <c r="F16" s="40"/>
      <c r="G16" s="40"/>
      <c r="H16" s="40"/>
      <c r="I16" s="40"/>
    </row>
    <row r="17" spans="1:29">
      <c r="A17" s="40" t="s">
        <v>193</v>
      </c>
      <c r="B17" s="40" t="s">
        <v>204</v>
      </c>
      <c r="C17" s="40" t="s">
        <v>205</v>
      </c>
      <c r="D17" s="40"/>
      <c r="E17" s="40" t="s">
        <v>196</v>
      </c>
      <c r="F17" s="40" t="s">
        <v>206</v>
      </c>
      <c r="G17" s="40"/>
      <c r="H17" s="40" t="s">
        <v>207</v>
      </c>
      <c r="I17" s="40" t="s">
        <v>208</v>
      </c>
      <c r="K17" s="56" t="s">
        <v>269</v>
      </c>
      <c r="L17" s="56"/>
      <c r="M17" s="56" t="s">
        <v>210</v>
      </c>
      <c r="N17" s="56" t="s">
        <v>211</v>
      </c>
    </row>
    <row r="18" spans="1:29">
      <c r="A18" s="40">
        <f>VLOOKUP(3,Norma!$A$8:$K$16,2,FALSE)</f>
        <v>1</v>
      </c>
      <c r="B18" s="40">
        <f>VLOOKUP(3,Norma!$A$8:$K$16,3,FALSE)</f>
        <v>2</v>
      </c>
      <c r="C18" s="40">
        <f>VLOOKUP(3,Norma!$A$8:$K$16,4,FALSE)</f>
        <v>1</v>
      </c>
      <c r="D18" s="40"/>
      <c r="E18" s="40">
        <f>SQRT(1/(A18*B18))</f>
        <v>0.70710678118654757</v>
      </c>
      <c r="F18" s="40">
        <f>SQRT(1/(B18*C18))</f>
        <v>0.70710678118654757</v>
      </c>
      <c r="G18" s="40"/>
      <c r="H18" s="40">
        <f>$H$1*E18/$F$3</f>
        <v>0.19557154961628587</v>
      </c>
      <c r="I18" s="40">
        <f>$H$1*F18/$F$3</f>
        <v>0.19557154961628587</v>
      </c>
      <c r="K18" s="53">
        <f>2*PI()*$F$3^2*$L$1*A18/$H$1</f>
        <v>8.2136939928105139</v>
      </c>
      <c r="L18" s="40">
        <f>1000000/((2*PI()*$F$3)^2*$L$1)</f>
        <v>19376.780195513053</v>
      </c>
      <c r="M18" s="53">
        <f>L18*H18</f>
        <v>3789.5469294106465</v>
      </c>
      <c r="N18" s="53">
        <f>L18*I18</f>
        <v>3789.5469294106465</v>
      </c>
    </row>
    <row r="19" spans="1:29">
      <c r="A19" s="40"/>
      <c r="B19" s="40"/>
      <c r="C19" s="40"/>
      <c r="D19" s="40"/>
      <c r="E19" s="40"/>
      <c r="F19" s="40"/>
      <c r="G19" s="40"/>
      <c r="H19" s="40"/>
      <c r="I19" s="40"/>
      <c r="K19" s="54">
        <f>I20*K18</f>
        <v>50</v>
      </c>
      <c r="M19" s="55">
        <f>M18/I20</f>
        <v>622.52357699147512</v>
      </c>
      <c r="N19" s="55">
        <f>N18/I20</f>
        <v>622.52357699147512</v>
      </c>
    </row>
    <row r="20" spans="1:29">
      <c r="A20" s="40"/>
      <c r="B20" s="40"/>
      <c r="C20" s="40"/>
      <c r="D20" s="40"/>
      <c r="E20" s="40"/>
      <c r="F20" s="40"/>
      <c r="G20" s="40"/>
      <c r="H20" s="40" t="s">
        <v>212</v>
      </c>
      <c r="I20" s="40">
        <f>$J$1/K18</f>
        <v>6.0873950312448022</v>
      </c>
      <c r="K20" s="23" t="s">
        <v>6</v>
      </c>
      <c r="L20" s="23"/>
      <c r="M20" s="23" t="s">
        <v>114</v>
      </c>
      <c r="N20" s="23" t="s">
        <v>213</v>
      </c>
    </row>
    <row r="21" spans="1:29">
      <c r="A21" s="40"/>
      <c r="B21" s="40"/>
      <c r="C21" s="40"/>
      <c r="D21" s="40"/>
      <c r="E21" s="40"/>
      <c r="F21" s="40"/>
      <c r="G21" s="40"/>
      <c r="H21" s="40"/>
      <c r="I21" s="40"/>
      <c r="L21" s="56"/>
      <c r="M21" s="56"/>
      <c r="N21" s="56"/>
    </row>
    <row r="22" spans="1:29">
      <c r="A22" s="40"/>
      <c r="B22" s="40"/>
      <c r="C22" s="40"/>
      <c r="D22" s="40"/>
      <c r="E22" s="40"/>
      <c r="F22" s="40"/>
      <c r="G22" s="40"/>
      <c r="H22" s="40"/>
      <c r="I22" s="40"/>
      <c r="K22" s="56" t="s">
        <v>214</v>
      </c>
      <c r="L22" s="53">
        <f>L18-M18</f>
        <v>15587.233266102407</v>
      </c>
      <c r="M22" s="53">
        <f>L18-M18-N18</f>
        <v>11797.686336691761</v>
      </c>
      <c r="N22" s="53">
        <f>L18-N18</f>
        <v>15587.233266102407</v>
      </c>
    </row>
    <row r="23" spans="1:29" ht="14.25">
      <c r="A23" s="40"/>
      <c r="B23" s="40"/>
      <c r="C23" s="40"/>
      <c r="D23" s="40"/>
      <c r="E23" s="40"/>
      <c r="F23" s="40"/>
      <c r="G23" s="40"/>
      <c r="H23" s="40"/>
      <c r="I23" s="40"/>
      <c r="J23" s="57" t="s">
        <v>215</v>
      </c>
      <c r="K23" s="58">
        <f>I20*$L$1</f>
        <v>0.60873950312448022</v>
      </c>
      <c r="L23" s="62">
        <f>L22/I20</f>
        <v>2560.5752848464308</v>
      </c>
      <c r="M23" s="62">
        <f>M22/I20</f>
        <v>1938.0517078549558</v>
      </c>
      <c r="N23" s="62">
        <f>N22/I20</f>
        <v>2560.5752848464308</v>
      </c>
    </row>
    <row r="24" spans="1:29">
      <c r="A24" s="40"/>
      <c r="B24" s="40"/>
      <c r="C24" s="40"/>
      <c r="D24" s="40"/>
      <c r="E24" s="40"/>
      <c r="F24" s="40"/>
      <c r="G24" s="40"/>
      <c r="H24" s="40"/>
      <c r="I24" s="40"/>
      <c r="K24" s="23" t="s">
        <v>126</v>
      </c>
      <c r="L24" s="23" t="s">
        <v>213</v>
      </c>
      <c r="M24" s="23" t="s">
        <v>114</v>
      </c>
      <c r="N24" s="23" t="s">
        <v>114</v>
      </c>
    </row>
    <row r="25" spans="1:29">
      <c r="A25" s="40"/>
      <c r="B25" s="40"/>
      <c r="C25" s="40"/>
      <c r="D25" s="40"/>
      <c r="E25" s="40"/>
      <c r="F25" s="40"/>
      <c r="G25" s="40"/>
      <c r="H25" s="40"/>
      <c r="I25" s="40"/>
    </row>
    <row r="26" spans="1:29">
      <c r="A26" s="40"/>
      <c r="B26" s="40"/>
      <c r="C26" s="40"/>
      <c r="D26" s="40"/>
      <c r="E26" s="40"/>
      <c r="F26" s="40"/>
      <c r="G26" s="40"/>
      <c r="H26" s="40"/>
      <c r="I26" s="40"/>
      <c r="U26" s="34" t="s">
        <v>216</v>
      </c>
      <c r="Y26" s="34" t="s">
        <v>32</v>
      </c>
      <c r="Z26" s="34" t="s">
        <v>217</v>
      </c>
      <c r="AB26" s="56" t="s">
        <v>218</v>
      </c>
      <c r="AC26" s="34" t="s">
        <v>219</v>
      </c>
    </row>
    <row r="27" spans="1:29">
      <c r="A27" s="40" t="s">
        <v>193</v>
      </c>
      <c r="B27" s="40" t="s">
        <v>204</v>
      </c>
      <c r="C27" s="40" t="s">
        <v>220</v>
      </c>
      <c r="D27" s="40" t="s">
        <v>221</v>
      </c>
      <c r="E27" s="40"/>
      <c r="F27" s="40"/>
      <c r="G27" s="40"/>
      <c r="H27" s="40"/>
      <c r="I27" s="40"/>
      <c r="Y27" s="34" t="s">
        <v>222</v>
      </c>
      <c r="Z27" s="34" t="s">
        <v>223</v>
      </c>
      <c r="AB27" s="56" t="s">
        <v>224</v>
      </c>
      <c r="AC27" s="34" t="s">
        <v>225</v>
      </c>
    </row>
    <row r="28" spans="1:29">
      <c r="A28" s="40">
        <f>VLOOKUP(4,Norma!$A$8:$K$16,2,FALSE)</f>
        <v>0.76539999999999997</v>
      </c>
      <c r="B28" s="40">
        <f>VLOOKUP(4,Norma!$A$8:$K$16,3,FALSE)</f>
        <v>1.8478000000000001</v>
      </c>
      <c r="C28" s="40">
        <f>VLOOKUP(4,Norma!$A$8:$K$16,4,FALSE)</f>
        <v>1.8478000000000001</v>
      </c>
      <c r="D28" s="40">
        <f>VLOOKUP(4,Norma!$A$8:$K$16,5,FALSE)</f>
        <v>0.76539999999999997</v>
      </c>
      <c r="E28" s="40"/>
      <c r="F28" s="40" t="s">
        <v>226</v>
      </c>
      <c r="G28" s="40" t="s">
        <v>227</v>
      </c>
      <c r="H28" s="40" t="s">
        <v>228</v>
      </c>
      <c r="I28" s="40"/>
      <c r="J28" s="56" t="s">
        <v>285</v>
      </c>
      <c r="K28" s="56" t="s">
        <v>284</v>
      </c>
      <c r="M28" s="56" t="s">
        <v>229</v>
      </c>
      <c r="N28" s="56" t="s">
        <v>230</v>
      </c>
      <c r="O28" s="56" t="s">
        <v>231</v>
      </c>
      <c r="Y28" s="56" t="s">
        <v>265</v>
      </c>
      <c r="Z28" s="56" t="s">
        <v>232</v>
      </c>
      <c r="AB28" s="56" t="s">
        <v>233</v>
      </c>
      <c r="AC28" s="34" t="s">
        <v>234</v>
      </c>
    </row>
    <row r="29" spans="1:29">
      <c r="A29" s="40"/>
      <c r="B29" s="40"/>
      <c r="C29" s="40"/>
      <c r="D29" s="40"/>
      <c r="E29" s="40"/>
      <c r="F29" s="40">
        <f>1/SQRT(A28*B28)</f>
        <v>0.84086889905725404</v>
      </c>
      <c r="G29" s="40">
        <f>1/SQRT(B28*C28)</f>
        <v>0.5411841108345059</v>
      </c>
      <c r="H29" s="40">
        <f>1/SQRT(C28*D28)</f>
        <v>0.84086889905725404</v>
      </c>
      <c r="I29" s="40"/>
      <c r="J29" s="53">
        <f>2*PI()*$F$3^2*$L$1*A28/$H$1</f>
        <v>6.2867613820971675</v>
      </c>
      <c r="K29" s="53">
        <f>2*PI()*$F$3^2*$L$1*D28/$H$1</f>
        <v>6.2867613820971675</v>
      </c>
      <c r="L29" s="40">
        <f>1000000/((2*PI()*$F$3)^2*$L$1)</f>
        <v>19376.780195513053</v>
      </c>
      <c r="M29" s="53">
        <f>F32*L29</f>
        <v>4506.4087055030914</v>
      </c>
      <c r="N29" s="53">
        <f>G32*L29</f>
        <v>2900.329398648043</v>
      </c>
      <c r="O29" s="53">
        <f>H32*L29</f>
        <v>4506.4087055030914</v>
      </c>
    </row>
    <row r="30" spans="1:29">
      <c r="A30" s="40"/>
      <c r="B30" s="40"/>
      <c r="C30" s="40"/>
      <c r="D30" s="40"/>
      <c r="E30" s="40"/>
      <c r="F30" s="40"/>
      <c r="G30" s="40"/>
      <c r="H30" s="40"/>
      <c r="I30" s="40"/>
      <c r="J30" s="54">
        <f>I34*J29</f>
        <v>50</v>
      </c>
      <c r="K30" s="54">
        <f>I34*K29</f>
        <v>50</v>
      </c>
      <c r="M30" s="55">
        <f>M29/I34</f>
        <v>566.61432443406636</v>
      </c>
      <c r="N30" s="55">
        <f>N29/I34</f>
        <v>364.67357717563232</v>
      </c>
      <c r="O30" s="55">
        <f>O29/I34</f>
        <v>566.61432443406636</v>
      </c>
    </row>
    <row r="31" spans="1:29">
      <c r="A31" s="40"/>
      <c r="B31" s="40"/>
      <c r="C31" s="40"/>
      <c r="D31" s="40"/>
      <c r="E31" s="40"/>
      <c r="F31" s="40" t="s">
        <v>235</v>
      </c>
      <c r="G31" s="40" t="s">
        <v>236</v>
      </c>
      <c r="H31" s="40" t="s">
        <v>237</v>
      </c>
      <c r="I31" s="40"/>
      <c r="J31" s="23" t="s">
        <v>238</v>
      </c>
      <c r="K31" s="23" t="s">
        <v>239</v>
      </c>
      <c r="L31" s="23"/>
      <c r="M31" s="23" t="s">
        <v>240</v>
      </c>
      <c r="N31" s="23" t="s">
        <v>213</v>
      </c>
      <c r="O31" s="23" t="s">
        <v>240</v>
      </c>
    </row>
    <row r="32" spans="1:29" ht="14.25">
      <c r="A32" s="40"/>
      <c r="B32" s="40"/>
      <c r="C32" s="40"/>
      <c r="D32" s="40"/>
      <c r="E32" s="40"/>
      <c r="F32" s="40">
        <f>$H$1*F29/$F$3</f>
        <v>0.23256746786788701</v>
      </c>
      <c r="G32" s="40">
        <f>$H$1*G29/$F$3</f>
        <v>0.14968066775715669</v>
      </c>
      <c r="H32" s="40">
        <f>$H$1*H29/$F$3</f>
        <v>0.23256746786788701</v>
      </c>
      <c r="I32" s="40"/>
      <c r="J32" s="57" t="s">
        <v>241</v>
      </c>
      <c r="K32" s="56" t="s">
        <v>22</v>
      </c>
      <c r="L32" s="56" t="s">
        <v>70</v>
      </c>
      <c r="M32" s="56" t="s">
        <v>40</v>
      </c>
      <c r="N32" s="56" t="s">
        <v>11</v>
      </c>
    </row>
    <row r="33" spans="1:30" ht="18.75">
      <c r="A33" s="40"/>
      <c r="B33" s="40"/>
      <c r="C33" s="40"/>
      <c r="D33" s="40"/>
      <c r="E33" s="40"/>
      <c r="F33" s="40"/>
      <c r="G33" s="40"/>
      <c r="H33" s="40"/>
      <c r="I33" s="40"/>
      <c r="J33" s="56" t="s">
        <v>214</v>
      </c>
      <c r="K33" s="53">
        <f>L29-M29</f>
        <v>14870.371490009962</v>
      </c>
      <c r="L33" s="53">
        <f>L29-M29-N29</f>
        <v>11970.04209136192</v>
      </c>
      <c r="M33" s="53">
        <f>L29-N29-O29</f>
        <v>11970.04209136192</v>
      </c>
      <c r="N33" s="53">
        <f>L29-O29</f>
        <v>14870.371490009962</v>
      </c>
      <c r="Y33" s="87" t="s">
        <v>312</v>
      </c>
    </row>
    <row r="34" spans="1:30" ht="14.25">
      <c r="A34" s="40"/>
      <c r="B34" s="40"/>
      <c r="C34" s="40"/>
      <c r="D34" s="40"/>
      <c r="E34" s="40"/>
      <c r="F34" s="40"/>
      <c r="G34" s="40"/>
      <c r="H34" s="40" t="s">
        <v>242</v>
      </c>
      <c r="I34" s="40">
        <f>$J$1/J29</f>
        <v>7.9532205791021715</v>
      </c>
      <c r="J34" s="58">
        <f>$L$1*I34</f>
        <v>0.79532205791021715</v>
      </c>
      <c r="K34" s="62">
        <f>K33/I34</f>
        <v>1869.7295444166668</v>
      </c>
      <c r="L34" s="62">
        <f>L33/I34</f>
        <v>1505.0559672410345</v>
      </c>
      <c r="M34" s="62">
        <f>M33/I34</f>
        <v>1505.0559672410345</v>
      </c>
      <c r="N34" s="62">
        <f>N33/I34</f>
        <v>1869.7295444166668</v>
      </c>
      <c r="O34" s="52"/>
    </row>
    <row r="35" spans="1:30" ht="14.25">
      <c r="A35" s="40"/>
      <c r="B35" s="40"/>
      <c r="C35" s="40"/>
      <c r="D35" s="40"/>
      <c r="E35" s="40"/>
      <c r="F35" s="40"/>
      <c r="G35" s="40"/>
      <c r="H35" s="40"/>
      <c r="I35" s="40"/>
      <c r="J35" s="23" t="s">
        <v>126</v>
      </c>
      <c r="K35" s="23" t="s">
        <v>213</v>
      </c>
      <c r="L35" s="23" t="s">
        <v>240</v>
      </c>
      <c r="M35" s="23" t="s">
        <v>200</v>
      </c>
      <c r="N35" s="23" t="s">
        <v>114</v>
      </c>
      <c r="Y35" s="103" t="s">
        <v>313</v>
      </c>
      <c r="Z35" s="115">
        <v>650</v>
      </c>
      <c r="AA35" s="103" t="s">
        <v>79</v>
      </c>
      <c r="AB35" s="110" t="s">
        <v>314</v>
      </c>
      <c r="AC35" s="113">
        <f>IF(Z35&gt;Z36,Z37*AC36/(AC36-Z37),"NG")</f>
        <v>458.72835398469272</v>
      </c>
      <c r="AD35" s="103" t="s">
        <v>102</v>
      </c>
    </row>
    <row r="36" spans="1:30" ht="14.25">
      <c r="A36" s="40"/>
      <c r="B36" s="40"/>
      <c r="C36" s="40"/>
      <c r="D36" s="40"/>
      <c r="E36" s="40"/>
      <c r="F36" s="40"/>
      <c r="G36" s="40"/>
      <c r="H36" s="40"/>
      <c r="I36" s="40"/>
      <c r="Y36" s="103" t="s">
        <v>319</v>
      </c>
      <c r="Z36" s="115">
        <v>50</v>
      </c>
      <c r="AA36" s="103" t="s">
        <v>79</v>
      </c>
      <c r="AB36" s="110" t="s">
        <v>315</v>
      </c>
      <c r="AC36" s="113">
        <f>IF(Z35&gt;Z36,Z37*SQRT(Z35/Z36),"NG")</f>
        <v>1195.2402478163124</v>
      </c>
      <c r="AD36" s="103" t="s">
        <v>102</v>
      </c>
    </row>
    <row r="37" spans="1:30" ht="14.25">
      <c r="A37" s="40"/>
      <c r="B37" s="40"/>
      <c r="C37" s="40"/>
      <c r="D37" s="40"/>
      <c r="E37" s="40"/>
      <c r="F37" s="40"/>
      <c r="G37" s="40"/>
      <c r="H37" s="40"/>
      <c r="I37" s="40"/>
      <c r="Y37" s="103" t="s">
        <v>316</v>
      </c>
      <c r="Z37" s="115">
        <v>331.5</v>
      </c>
      <c r="AA37" s="103" t="s">
        <v>317</v>
      </c>
      <c r="AB37" s="102" t="s">
        <v>323</v>
      </c>
      <c r="AC37" s="113">
        <f>10*LOG10(Z36/Z35)</f>
        <v>-11.139433523068368</v>
      </c>
      <c r="AD37" s="103" t="s">
        <v>320</v>
      </c>
    </row>
    <row r="38" spans="1:30">
      <c r="A38" s="40"/>
      <c r="B38" s="40"/>
      <c r="C38" s="40"/>
      <c r="D38" s="40"/>
      <c r="E38" s="34" t="s">
        <v>282</v>
      </c>
      <c r="F38" s="40"/>
      <c r="G38" s="40"/>
      <c r="H38" s="40"/>
      <c r="I38" s="40"/>
    </row>
    <row r="39" spans="1:30">
      <c r="A39" s="40"/>
      <c r="B39" s="40"/>
      <c r="C39" s="40"/>
      <c r="D39" s="40"/>
      <c r="E39" s="40"/>
      <c r="F39" s="40"/>
      <c r="G39" s="40"/>
      <c r="H39" s="40"/>
      <c r="I39" s="40"/>
    </row>
    <row r="40" spans="1:30" ht="14.25">
      <c r="A40" s="40"/>
      <c r="B40" s="40"/>
      <c r="C40" s="40"/>
      <c r="D40" s="40"/>
      <c r="E40" s="40"/>
      <c r="F40" s="40"/>
      <c r="G40" s="40"/>
      <c r="H40" s="40"/>
      <c r="I40" s="40"/>
      <c r="J40" s="63" t="s">
        <v>266</v>
      </c>
    </row>
    <row r="41" spans="1:30">
      <c r="A41" s="40"/>
      <c r="B41" s="40"/>
      <c r="C41" s="40"/>
      <c r="D41" s="40"/>
      <c r="E41" s="40"/>
      <c r="F41" s="40"/>
      <c r="G41" s="40"/>
      <c r="H41" s="40"/>
      <c r="I41" s="40"/>
      <c r="K41" s="51"/>
      <c r="L41" s="51"/>
      <c r="M41" s="52"/>
      <c r="N41" s="52"/>
    </row>
    <row r="42" spans="1:30">
      <c r="A42" s="40" t="s">
        <v>244</v>
      </c>
      <c r="B42" s="40" t="s">
        <v>245</v>
      </c>
      <c r="C42" s="40" t="s">
        <v>246</v>
      </c>
      <c r="D42" s="40"/>
      <c r="E42" s="40" t="s">
        <v>196</v>
      </c>
      <c r="F42" s="40" t="s">
        <v>227</v>
      </c>
      <c r="G42" s="40"/>
      <c r="H42" s="40" t="s">
        <v>207</v>
      </c>
      <c r="I42" s="40" t="s">
        <v>208</v>
      </c>
      <c r="K42" s="56" t="s">
        <v>269</v>
      </c>
      <c r="M42" s="56" t="s">
        <v>210</v>
      </c>
      <c r="N42" s="56" t="s">
        <v>247</v>
      </c>
    </row>
    <row r="43" spans="1:30">
      <c r="A43" s="40">
        <f>VLOOKUP(3,Norma!$A$19:$J$22,2,FALSE)</f>
        <v>1.181</v>
      </c>
      <c r="B43" s="40">
        <f>VLOOKUP(3,Norma!$A$19:$J$22,3,FALSE)</f>
        <v>1.821</v>
      </c>
      <c r="C43" s="40">
        <f>VLOOKUP(3,Norma!$A$19:$J$22,4,FALSE)</f>
        <v>1.181</v>
      </c>
      <c r="D43" s="40"/>
      <c r="E43" s="40">
        <f>SQRT(1/(A43*B43))</f>
        <v>0.6818990388457038</v>
      </c>
      <c r="F43" s="40">
        <f>SQRT(1/(B43*C43))</f>
        <v>0.6818990388457038</v>
      </c>
      <c r="G43" s="40"/>
      <c r="H43" s="40">
        <f>$H$1*E43/$F$3</f>
        <v>0.18859959380551805</v>
      </c>
      <c r="I43" s="40">
        <f>$H$1*F43/$F$3</f>
        <v>0.18859959380551805</v>
      </c>
      <c r="K43" s="53">
        <f>2*PI()*$F$3^2*$L$1*A43/$H$1</f>
        <v>9.7003726055092176</v>
      </c>
      <c r="L43" s="40">
        <f>1000000/((2*PI()*$F$3)^2*$L$1)</f>
        <v>19376.780195513053</v>
      </c>
      <c r="M43" s="53">
        <f>L43*H43</f>
        <v>3654.4528741325685</v>
      </c>
      <c r="N43" s="53">
        <f>L43*I43</f>
        <v>3654.4528741325685</v>
      </c>
    </row>
    <row r="44" spans="1:30">
      <c r="A44" s="40"/>
      <c r="B44" s="40"/>
      <c r="C44" s="40"/>
      <c r="D44" s="40"/>
      <c r="E44" s="40"/>
      <c r="F44" s="40"/>
      <c r="G44" s="40"/>
      <c r="H44" s="40"/>
      <c r="I44" s="40"/>
      <c r="K44" s="54">
        <f>I45*K43</f>
        <v>50</v>
      </c>
      <c r="M44" s="55">
        <f>M43/I45</f>
        <v>708.99109096719985</v>
      </c>
      <c r="N44" s="55">
        <f>N43/I45</f>
        <v>708.99109096719985</v>
      </c>
    </row>
    <row r="45" spans="1:30">
      <c r="A45" s="40"/>
      <c r="B45" s="40"/>
      <c r="C45" s="40"/>
      <c r="D45" s="40"/>
      <c r="E45" s="40"/>
      <c r="F45" s="40"/>
      <c r="G45" s="40"/>
      <c r="H45" s="40" t="s">
        <v>242</v>
      </c>
      <c r="I45" s="40">
        <f>$J$1/K43</f>
        <v>5.1544411780226937</v>
      </c>
      <c r="K45" s="23" t="s">
        <v>6</v>
      </c>
      <c r="L45" s="23" t="s">
        <v>114</v>
      </c>
      <c r="M45" s="23" t="s">
        <v>114</v>
      </c>
      <c r="N45" s="23" t="s">
        <v>213</v>
      </c>
    </row>
    <row r="46" spans="1:30">
      <c r="A46" s="40"/>
      <c r="B46" s="40"/>
      <c r="C46" s="40"/>
      <c r="D46" s="40"/>
      <c r="E46" s="40"/>
      <c r="F46" s="40"/>
      <c r="G46" s="40"/>
      <c r="H46" s="40"/>
      <c r="I46" s="40"/>
      <c r="L46" s="56" t="s">
        <v>243</v>
      </c>
      <c r="M46" s="56" t="s">
        <v>70</v>
      </c>
      <c r="N46" s="56" t="s">
        <v>40</v>
      </c>
    </row>
    <row r="47" spans="1:30" ht="14.25">
      <c r="J47" s="64" t="s">
        <v>215</v>
      </c>
      <c r="K47" s="56" t="s">
        <v>248</v>
      </c>
      <c r="L47" s="53">
        <f>L43-M43</f>
        <v>15722.327321380484</v>
      </c>
      <c r="M47" s="53">
        <f>L43-M43-N43</f>
        <v>12067.874447247916</v>
      </c>
      <c r="N47" s="53">
        <f>L43-N43</f>
        <v>15722.327321380484</v>
      </c>
    </row>
    <row r="48" spans="1:30" ht="14.25">
      <c r="K48" s="65">
        <f>I45*$L$1</f>
        <v>0.5154441178022694</v>
      </c>
      <c r="L48" s="62">
        <f>L47/I45</f>
        <v>3050.2486648633676</v>
      </c>
      <c r="M48" s="62">
        <f>M47/I45</f>
        <v>2341.2575738961677</v>
      </c>
      <c r="N48" s="62">
        <f>N47/I45</f>
        <v>3050.2486648633676</v>
      </c>
    </row>
    <row r="49" spans="1:25">
      <c r="K49" s="23" t="s">
        <v>126</v>
      </c>
      <c r="L49" s="23" t="s">
        <v>114</v>
      </c>
      <c r="M49" s="23" t="s">
        <v>114</v>
      </c>
      <c r="N49" s="23" t="s">
        <v>249</v>
      </c>
    </row>
    <row r="52" spans="1:25">
      <c r="Y52" s="34" t="s">
        <v>279</v>
      </c>
    </row>
    <row r="54" spans="1:25">
      <c r="A54" s="40">
        <f>VLOOKUP(5,Norma!$A$19:$J$22,2,FALSE)</f>
        <v>0.97699999999999998</v>
      </c>
      <c r="B54" s="40">
        <f>VLOOKUP(5,Norma!$A$19:$J$22,3,FALSE)</f>
        <v>1.6850000000000001</v>
      </c>
      <c r="C54" s="40">
        <f>VLOOKUP(5,Norma!$A$19:$J$22,4,FALSE)</f>
        <v>2.0369999999999999</v>
      </c>
      <c r="D54" s="40">
        <f>VLOOKUP(5,Norma!$A$19:$J$22,5,FALSE)</f>
        <v>1.6850000000000001</v>
      </c>
      <c r="E54" s="40">
        <f>VLOOKUP(5,Norma!$A$19:$J$22,6,FALSE)</f>
        <v>0.97699999999999998</v>
      </c>
      <c r="F54" s="40" t="s">
        <v>196</v>
      </c>
      <c r="G54" s="40" t="s">
        <v>206</v>
      </c>
      <c r="H54" s="40" t="s">
        <v>228</v>
      </c>
      <c r="I54" s="40" t="s">
        <v>267</v>
      </c>
      <c r="K54" s="56" t="s">
        <v>269</v>
      </c>
      <c r="M54" s="56" t="s">
        <v>271</v>
      </c>
      <c r="N54" s="56" t="s">
        <v>272</v>
      </c>
      <c r="O54" s="56" t="s">
        <v>273</v>
      </c>
      <c r="P54" s="56" t="s">
        <v>274</v>
      </c>
    </row>
    <row r="55" spans="1:25">
      <c r="A55" s="40"/>
      <c r="B55" s="40"/>
      <c r="C55" s="40"/>
      <c r="D55" s="40"/>
      <c r="E55" s="40"/>
      <c r="F55" s="40">
        <f>1/SQRT(A54*B54)</f>
        <v>0.77938629643301716</v>
      </c>
      <c r="G55" s="40">
        <f>1/SQRT(B54*C54)</f>
        <v>0.53976476725611322</v>
      </c>
      <c r="H55" s="40">
        <f>1/SQRT(C54*D54)</f>
        <v>0.53976476725611322</v>
      </c>
      <c r="I55" s="40">
        <f>1/SQRT(D54*E54)</f>
        <v>0.77938629643301716</v>
      </c>
      <c r="K55" s="53">
        <f>2*PI()*$F$3^2*$L$1*A54/$H$1</f>
        <v>8.0247790309758713</v>
      </c>
      <c r="L55" s="40">
        <f>1000000/((2*PI()*$F$3)^2*$L$1)</f>
        <v>19376.780195513053</v>
      </c>
      <c r="M55" s="53">
        <f>L55*F58</f>
        <v>4176.9093792543954</v>
      </c>
      <c r="N55" s="40">
        <f>L55*G58</f>
        <v>2892.7228118603289</v>
      </c>
      <c r="O55" s="40">
        <f>L55*H58</f>
        <v>2892.7228118603289</v>
      </c>
      <c r="P55" s="40">
        <f>L55*I58</f>
        <v>4176.9093792543954</v>
      </c>
    </row>
    <row r="56" spans="1:25">
      <c r="A56" s="40"/>
      <c r="B56" s="40"/>
      <c r="C56" s="40"/>
      <c r="D56" s="40"/>
      <c r="E56" s="40"/>
      <c r="F56" s="40"/>
      <c r="G56" s="40"/>
      <c r="H56" s="40"/>
      <c r="I56" s="40"/>
      <c r="K56" s="54">
        <f>I60*K55</f>
        <v>50</v>
      </c>
      <c r="M56" s="55">
        <f>M55/I60</f>
        <v>670.37549601854232</v>
      </c>
      <c r="N56" s="55">
        <f>N55/I60</f>
        <v>464.26922726084655</v>
      </c>
      <c r="O56" s="55">
        <f>O55/I60</f>
        <v>464.26922726084655</v>
      </c>
      <c r="P56" s="55">
        <f>P55/I60</f>
        <v>670.37549601854232</v>
      </c>
    </row>
    <row r="57" spans="1:25">
      <c r="A57" s="40"/>
      <c r="B57" s="40"/>
      <c r="C57" s="40"/>
      <c r="D57" s="40"/>
      <c r="E57" s="40"/>
      <c r="F57" s="40" t="s">
        <v>197</v>
      </c>
      <c r="G57" s="40" t="s">
        <v>208</v>
      </c>
      <c r="H57" s="40" t="s">
        <v>237</v>
      </c>
      <c r="I57" s="40" t="s">
        <v>268</v>
      </c>
      <c r="K57" s="23" t="s">
        <v>270</v>
      </c>
      <c r="M57" s="23" t="s">
        <v>1</v>
      </c>
      <c r="N57" s="23" t="s">
        <v>1</v>
      </c>
      <c r="O57" s="23" t="s">
        <v>1</v>
      </c>
      <c r="P57" s="23" t="s">
        <v>1</v>
      </c>
    </row>
    <row r="58" spans="1:25">
      <c r="A58" s="40"/>
      <c r="B58" s="40"/>
      <c r="C58" s="40"/>
      <c r="D58" s="40"/>
      <c r="E58" s="40"/>
      <c r="F58" s="40">
        <f>$H$1*F55/$F$3</f>
        <v>0.21556261345327193</v>
      </c>
      <c r="G58" s="40">
        <f>$H$1*G55/$F$3</f>
        <v>0.14928810579841209</v>
      </c>
      <c r="H58" s="40">
        <f>$H$1*H55/$F$3</f>
        <v>0.14928810579841209</v>
      </c>
      <c r="I58" s="40">
        <f>$H$1*I55/$F$3</f>
        <v>0.21556261345327193</v>
      </c>
      <c r="L58" s="56" t="s">
        <v>22</v>
      </c>
      <c r="M58" s="56" t="s">
        <v>49</v>
      </c>
      <c r="N58" s="56" t="s">
        <v>40</v>
      </c>
      <c r="O58" s="56" t="s">
        <v>275</v>
      </c>
      <c r="P58" s="56" t="s">
        <v>276</v>
      </c>
    </row>
    <row r="59" spans="1:25" ht="14.25">
      <c r="A59" s="40"/>
      <c r="B59" s="40"/>
      <c r="C59" s="40"/>
      <c r="D59" s="40"/>
      <c r="E59" s="40"/>
      <c r="F59" s="40"/>
      <c r="G59" s="40"/>
      <c r="H59" s="40"/>
      <c r="I59" s="40"/>
      <c r="J59" s="64" t="s">
        <v>303</v>
      </c>
      <c r="K59" s="56" t="s">
        <v>42</v>
      </c>
      <c r="L59" s="40">
        <f>L55-M55</f>
        <v>15199.870816258657</v>
      </c>
      <c r="M59" s="40">
        <f>L55-M55-N55</f>
        <v>12307.148004398328</v>
      </c>
      <c r="N59" s="40">
        <f>L55-N55-O55</f>
        <v>13591.334571792397</v>
      </c>
      <c r="O59" s="40">
        <f>L55-O55-P55</f>
        <v>12307.14800439833</v>
      </c>
      <c r="P59" s="40">
        <f>L55-P55</f>
        <v>15199.870816258657</v>
      </c>
    </row>
    <row r="60" spans="1:25" ht="14.25">
      <c r="A60" s="40"/>
      <c r="B60" s="40"/>
      <c r="C60" s="40"/>
      <c r="D60" s="40"/>
      <c r="E60" s="40"/>
      <c r="F60" s="40"/>
      <c r="G60" s="40"/>
      <c r="H60" s="40" t="s">
        <v>199</v>
      </c>
      <c r="I60" s="40">
        <f>$J$1/K55</f>
        <v>6.2307011578759495</v>
      </c>
      <c r="K60" s="65">
        <f>I60*$L$1</f>
        <v>0.62307011578759497</v>
      </c>
      <c r="L60" s="66">
        <f>L59/I60</f>
        <v>2439.5120919970914</v>
      </c>
      <c r="M60" s="66">
        <f>M59/I60</f>
        <v>1975.2428647362449</v>
      </c>
      <c r="N60" s="66">
        <f>N59/I60</f>
        <v>2181.3491334939408</v>
      </c>
      <c r="O60" s="66">
        <f>O59/I60</f>
        <v>1975.2428647362451</v>
      </c>
      <c r="P60" s="66">
        <f>P59/I60</f>
        <v>2439.5120919970914</v>
      </c>
    </row>
    <row r="61" spans="1:25">
      <c r="A61" s="40"/>
      <c r="B61" s="40"/>
      <c r="C61" s="40"/>
      <c r="D61" s="40"/>
      <c r="E61" s="40"/>
      <c r="F61" s="40"/>
      <c r="G61" s="40"/>
      <c r="H61" s="40"/>
      <c r="I61" s="40"/>
      <c r="K61" s="23" t="s">
        <v>126</v>
      </c>
      <c r="L61" s="23" t="s">
        <v>1</v>
      </c>
      <c r="M61" s="23" t="s">
        <v>1</v>
      </c>
      <c r="N61" s="23" t="s">
        <v>1</v>
      </c>
      <c r="O61" s="23" t="s">
        <v>1</v>
      </c>
      <c r="P61" s="23" t="s">
        <v>1</v>
      </c>
    </row>
    <row r="62" spans="1:25">
      <c r="A62" s="40"/>
      <c r="B62" s="40"/>
      <c r="C62" s="40"/>
      <c r="D62" s="40"/>
      <c r="E62" s="40"/>
      <c r="F62" s="40"/>
      <c r="G62" s="40"/>
      <c r="H62" s="40"/>
      <c r="I62" s="40"/>
    </row>
    <row r="63" spans="1:25">
      <c r="A63" s="40"/>
      <c r="B63" s="40"/>
      <c r="C63" s="40"/>
      <c r="D63" s="40"/>
      <c r="E63" s="40"/>
      <c r="F63" s="40"/>
      <c r="G63" s="40"/>
      <c r="H63" s="40"/>
      <c r="I63" s="40"/>
    </row>
    <row r="64" spans="1:25">
      <c r="A64" s="40"/>
      <c r="B64" s="40"/>
      <c r="C64" s="40"/>
      <c r="D64" s="40"/>
      <c r="E64" s="40"/>
      <c r="F64" s="40"/>
      <c r="G64" s="40"/>
      <c r="H64" s="40"/>
      <c r="I64" s="40"/>
    </row>
    <row r="65" spans="1:25">
      <c r="A65" s="40"/>
      <c r="B65" s="40"/>
      <c r="C65" s="40"/>
      <c r="D65" s="40"/>
      <c r="E65" s="40"/>
      <c r="F65" s="40"/>
      <c r="G65" s="40"/>
      <c r="H65" s="40"/>
      <c r="I65" s="40"/>
      <c r="J65" s="52"/>
      <c r="K65" s="52"/>
      <c r="L65" s="52"/>
      <c r="M65" s="52"/>
      <c r="N65" s="52"/>
      <c r="O65" s="52"/>
    </row>
    <row r="66" spans="1:25">
      <c r="A66" s="40"/>
      <c r="B66" s="40"/>
      <c r="C66" s="40"/>
      <c r="D66" s="40"/>
      <c r="E66" s="40"/>
      <c r="F66" s="40"/>
      <c r="G66" s="40"/>
      <c r="H66" s="40"/>
      <c r="I66" s="40"/>
      <c r="J66" s="51"/>
      <c r="K66" s="51"/>
      <c r="L66" s="52"/>
      <c r="M66" s="52"/>
      <c r="N66" s="52"/>
      <c r="O66" s="52"/>
    </row>
    <row r="67" spans="1:25">
      <c r="A67" s="40"/>
      <c r="B67" s="40"/>
      <c r="C67" s="40"/>
      <c r="D67" s="40"/>
      <c r="E67" s="40"/>
      <c r="F67" s="40"/>
      <c r="G67" s="40"/>
      <c r="H67" s="40"/>
      <c r="I67" s="40"/>
      <c r="J67" s="52"/>
      <c r="K67" s="52"/>
      <c r="L67" s="52"/>
      <c r="M67" s="52"/>
      <c r="N67" s="52"/>
      <c r="O67" s="52"/>
    </row>
    <row r="68" spans="1:25" ht="14.25">
      <c r="A68" s="40"/>
      <c r="B68" s="40"/>
      <c r="C68" s="40"/>
      <c r="D68" s="40"/>
      <c r="E68" s="40"/>
      <c r="F68" s="40"/>
      <c r="G68" s="40"/>
      <c r="H68" s="40"/>
      <c r="I68" s="40"/>
      <c r="J68" s="63" t="s">
        <v>277</v>
      </c>
    </row>
    <row r="69" spans="1:25">
      <c r="A69" s="40"/>
      <c r="B69" s="40"/>
      <c r="C69" s="40"/>
      <c r="D69" s="40"/>
      <c r="E69" s="40"/>
      <c r="F69" s="40"/>
      <c r="G69" s="40"/>
      <c r="H69" s="40"/>
      <c r="I69" s="40"/>
      <c r="K69" s="51"/>
      <c r="L69" s="51"/>
      <c r="M69" s="52"/>
      <c r="N69" s="52"/>
    </row>
    <row r="70" spans="1:25">
      <c r="A70" s="40" t="s">
        <v>193</v>
      </c>
      <c r="B70" s="40" t="s">
        <v>195</v>
      </c>
      <c r="C70" s="40" t="s">
        <v>205</v>
      </c>
      <c r="D70" s="40"/>
      <c r="E70" s="40" t="s">
        <v>196</v>
      </c>
      <c r="F70" s="40" t="s">
        <v>206</v>
      </c>
      <c r="G70" s="40"/>
      <c r="H70" s="40" t="s">
        <v>197</v>
      </c>
      <c r="I70" s="40" t="s">
        <v>208</v>
      </c>
      <c r="K70" s="56" t="s">
        <v>209</v>
      </c>
      <c r="M70" s="56" t="s">
        <v>198</v>
      </c>
      <c r="N70" s="56" t="s">
        <v>211</v>
      </c>
    </row>
    <row r="71" spans="1:25">
      <c r="A71" s="40">
        <f>VLOOKUP(3,Norma!$A$25:$J$28,2,FALSE)</f>
        <v>1.33</v>
      </c>
      <c r="B71" s="40">
        <f>VLOOKUP(3,Norma!$A$25:$J$28,3,FALSE)</f>
        <v>1.6830000000000001</v>
      </c>
      <c r="C71" s="40">
        <f>VLOOKUP(3,Norma!$A$25:$J$28,4,FALSE)</f>
        <v>1.33</v>
      </c>
      <c r="D71" s="40"/>
      <c r="E71" s="40">
        <f>SQRT(1/(A71*B71))</f>
        <v>0.66839335181902026</v>
      </c>
      <c r="F71" s="40">
        <f>SQRT(1/(B71*C71))</f>
        <v>0.66839335181902026</v>
      </c>
      <c r="G71" s="40"/>
      <c r="H71" s="40">
        <f>$H$1*E71/$F$3</f>
        <v>0.18486419172662857</v>
      </c>
      <c r="I71" s="40">
        <f>$H$1*F71/$F$3</f>
        <v>0.18486419172662857</v>
      </c>
      <c r="K71" s="53">
        <f>2*PI()*$F$3^2*$L$1*A71/$H$1</f>
        <v>10.924213010437985</v>
      </c>
      <c r="L71" s="40">
        <f>1000000/((2*PI()*$F$3)^2*$L$1)</f>
        <v>19376.780195513053</v>
      </c>
      <c r="M71" s="53">
        <f>L71*H71</f>
        <v>3582.0728091080646</v>
      </c>
      <c r="N71" s="53">
        <f>L71*I71</f>
        <v>3582.0728091080646</v>
      </c>
    </row>
    <row r="72" spans="1:25">
      <c r="A72" s="40"/>
      <c r="B72" s="40"/>
      <c r="C72" s="40"/>
      <c r="D72" s="40"/>
      <c r="E72" s="40"/>
      <c r="F72" s="40"/>
      <c r="G72" s="40"/>
      <c r="H72" s="40"/>
      <c r="I72" s="40"/>
      <c r="K72" s="54">
        <f>I73*K71</f>
        <v>50</v>
      </c>
      <c r="M72" s="55">
        <f>M71/I73</f>
        <v>782.62652771188914</v>
      </c>
      <c r="N72" s="55">
        <f>N71/I73</f>
        <v>782.62652771188914</v>
      </c>
    </row>
    <row r="73" spans="1:25">
      <c r="A73" s="40"/>
      <c r="B73" s="40"/>
      <c r="C73" s="40"/>
      <c r="D73" s="40"/>
      <c r="E73" s="40"/>
      <c r="F73" s="40"/>
      <c r="G73" s="40"/>
      <c r="H73" s="40" t="s">
        <v>199</v>
      </c>
      <c r="I73" s="40">
        <f>$J$1/K71</f>
        <v>4.576988745296843</v>
      </c>
      <c r="K73" s="23" t="s">
        <v>6</v>
      </c>
      <c r="L73" s="23" t="s">
        <v>1</v>
      </c>
      <c r="M73" s="23" t="s">
        <v>1</v>
      </c>
      <c r="N73" s="23" t="s">
        <v>1</v>
      </c>
    </row>
    <row r="74" spans="1:25">
      <c r="L74" s="56" t="s">
        <v>22</v>
      </c>
      <c r="M74" s="56" t="s">
        <v>49</v>
      </c>
      <c r="N74" s="56" t="s">
        <v>40</v>
      </c>
    </row>
    <row r="75" spans="1:25" ht="14.25">
      <c r="J75" s="64" t="s">
        <v>215</v>
      </c>
      <c r="K75" s="56" t="s">
        <v>42</v>
      </c>
      <c r="L75" s="53">
        <f>L71-M71</f>
        <v>15794.707386404989</v>
      </c>
      <c r="M75" s="53">
        <f>L71-M71-N71</f>
        <v>12212.634577296925</v>
      </c>
      <c r="N75" s="53">
        <f>L71-N71</f>
        <v>15794.707386404989</v>
      </c>
    </row>
    <row r="76" spans="1:25" ht="14.25">
      <c r="K76" s="65">
        <f>I73*$L$1</f>
        <v>0.45769887452968433</v>
      </c>
      <c r="L76" s="62">
        <f>L75/I73</f>
        <v>3450.8949585325263</v>
      </c>
      <c r="M76" s="62">
        <f>M75/I73</f>
        <v>2668.2684308206376</v>
      </c>
      <c r="N76" s="62">
        <f>N75/I73</f>
        <v>3450.8949585325263</v>
      </c>
      <c r="Y76" s="34" t="s">
        <v>281</v>
      </c>
    </row>
    <row r="77" spans="1:25">
      <c r="K77" s="23" t="s">
        <v>126</v>
      </c>
      <c r="L77" s="23" t="s">
        <v>1</v>
      </c>
      <c r="M77" s="23" t="s">
        <v>1</v>
      </c>
      <c r="N77" s="23" t="s">
        <v>1</v>
      </c>
    </row>
    <row r="82" spans="1:16">
      <c r="A82" s="40">
        <f>VLOOKUP(5,Norma!$A$25:$J$28,2,FALSE)</f>
        <v>1.1739999999999999</v>
      </c>
      <c r="B82" s="40">
        <f>VLOOKUP(5,Norma!$A$25:$J$28,3,FALSE)</f>
        <v>1.6160000000000001</v>
      </c>
      <c r="C82" s="40">
        <f>VLOOKUP(5,Norma!$A$25:$J$28,4,FALSE)</f>
        <v>2.149</v>
      </c>
      <c r="D82" s="40">
        <f>VLOOKUP(5,Norma!$A$25:$J$28,5,FALSE)</f>
        <v>1.6160000000000001</v>
      </c>
      <c r="E82" s="40">
        <f>VLOOKUP(5,Norma!$A$19:$J$22,6,FALSE)</f>
        <v>0.97699999999999998</v>
      </c>
      <c r="F82" s="40" t="s">
        <v>196</v>
      </c>
      <c r="G82" s="40" t="s">
        <v>206</v>
      </c>
      <c r="H82" s="40" t="s">
        <v>228</v>
      </c>
      <c r="I82" s="40" t="s">
        <v>267</v>
      </c>
      <c r="K82" s="56" t="s">
        <v>269</v>
      </c>
      <c r="M82" s="56" t="s">
        <v>271</v>
      </c>
      <c r="N82" s="56" t="s">
        <v>272</v>
      </c>
      <c r="O82" s="56" t="s">
        <v>273</v>
      </c>
      <c r="P82" s="56" t="s">
        <v>274</v>
      </c>
    </row>
    <row r="83" spans="1:16">
      <c r="A83" s="40"/>
      <c r="B83" s="40"/>
      <c r="C83" s="40"/>
      <c r="D83" s="40"/>
      <c r="E83" s="40"/>
      <c r="F83" s="40">
        <f>1/SQRT(A82*B82)</f>
        <v>0.72601446453607499</v>
      </c>
      <c r="G83" s="40">
        <f>1/SQRT(B82*C82)</f>
        <v>0.5366129065179629</v>
      </c>
      <c r="H83" s="40">
        <f>1/SQRT(C82*D82)</f>
        <v>0.5366129065179629</v>
      </c>
      <c r="I83" s="40">
        <f>1/SQRT(D82*E82)</f>
        <v>0.79585150139353045</v>
      </c>
      <c r="K83" s="53">
        <f>2*PI()*$F$3^2*$L$1*A82/$H$1</f>
        <v>9.6428767475595425</v>
      </c>
      <c r="L83" s="40">
        <f>1000000/((2*PI()*$F$3)^2*$L$1)</f>
        <v>19376.780195513053</v>
      </c>
      <c r="M83" s="53">
        <f>L83*F86</f>
        <v>3890.8775279649931</v>
      </c>
      <c r="N83" s="40">
        <f>L83*G86</f>
        <v>2875.8312694512106</v>
      </c>
      <c r="O83" s="40">
        <f>L83*H86</f>
        <v>2875.8312694512106</v>
      </c>
      <c r="P83" s="40">
        <f>L83*I86</f>
        <v>4265.1501776180148</v>
      </c>
    </row>
    <row r="84" spans="1:16">
      <c r="A84" s="40"/>
      <c r="B84" s="40"/>
      <c r="C84" s="40"/>
      <c r="D84" s="40"/>
      <c r="E84" s="40"/>
      <c r="F84" s="40"/>
      <c r="G84" s="40"/>
      <c r="H84" s="40"/>
      <c r="I84" s="40"/>
      <c r="K84" s="54">
        <f>I88*K83</f>
        <v>50</v>
      </c>
      <c r="M84" s="55">
        <f>M83/I88</f>
        <v>750.3850488403117</v>
      </c>
      <c r="N84" s="55">
        <f>N83/I88</f>
        <v>554.62572956191445</v>
      </c>
      <c r="O84" s="55">
        <f>O83/I88</f>
        <v>554.62572956191445</v>
      </c>
      <c r="P84" s="55">
        <f>P83/I88</f>
        <v>822.56634945204416</v>
      </c>
    </row>
    <row r="85" spans="1:16">
      <c r="A85" s="40"/>
      <c r="B85" s="40"/>
      <c r="C85" s="40"/>
      <c r="D85" s="40"/>
      <c r="E85" s="40"/>
      <c r="F85" s="40" t="s">
        <v>197</v>
      </c>
      <c r="G85" s="40" t="s">
        <v>208</v>
      </c>
      <c r="H85" s="40" t="s">
        <v>237</v>
      </c>
      <c r="I85" s="40" t="s">
        <v>268</v>
      </c>
      <c r="K85" s="23" t="s">
        <v>270</v>
      </c>
      <c r="M85" s="23" t="s">
        <v>1</v>
      </c>
      <c r="N85" s="23" t="s">
        <v>1</v>
      </c>
      <c r="O85" s="23" t="s">
        <v>1</v>
      </c>
      <c r="P85" s="23" t="s">
        <v>1</v>
      </c>
    </row>
    <row r="86" spans="1:16">
      <c r="A86" s="40"/>
      <c r="B86" s="40"/>
      <c r="C86" s="40"/>
      <c r="D86" s="40"/>
      <c r="E86" s="40"/>
      <c r="F86" s="40">
        <f>$H$1*F83/$F$3</f>
        <v>0.20080103550258452</v>
      </c>
      <c r="G86" s="40">
        <f>$H$1*G83/$F$3</f>
        <v>0.14841636435124278</v>
      </c>
      <c r="H86" s="40">
        <f>$H$1*H83/$F$3</f>
        <v>0.14841636435124278</v>
      </c>
      <c r="I86" s="40">
        <f>$H$1*I83/$F$3</f>
        <v>0.22011655881845973</v>
      </c>
      <c r="L86" s="56" t="s">
        <v>22</v>
      </c>
      <c r="M86" s="56" t="s">
        <v>49</v>
      </c>
      <c r="N86" s="56" t="s">
        <v>40</v>
      </c>
      <c r="O86" s="56" t="s">
        <v>275</v>
      </c>
      <c r="P86" s="56" t="s">
        <v>276</v>
      </c>
    </row>
    <row r="87" spans="1:16" ht="14.25">
      <c r="A87" s="40"/>
      <c r="B87" s="40"/>
      <c r="C87" s="40"/>
      <c r="D87" s="40"/>
      <c r="E87" s="40"/>
      <c r="F87" s="40"/>
      <c r="G87" s="40"/>
      <c r="H87" s="40"/>
      <c r="I87" s="40"/>
      <c r="J87" s="64" t="s">
        <v>303</v>
      </c>
      <c r="K87" s="56" t="s">
        <v>42</v>
      </c>
      <c r="L87" s="40">
        <f>L83-M83</f>
        <v>15485.90266754806</v>
      </c>
      <c r="M87" s="40">
        <f>L83-M83-N83</f>
        <v>12610.07139809685</v>
      </c>
      <c r="N87" s="40">
        <f>L83-N83-O83</f>
        <v>13625.117656610633</v>
      </c>
      <c r="O87" s="40">
        <f>L83-O83-P83</f>
        <v>12235.798748443827</v>
      </c>
      <c r="P87" s="40">
        <f>L83-P83</f>
        <v>15111.630017895037</v>
      </c>
    </row>
    <row r="88" spans="1:16" ht="14.25">
      <c r="A88" s="40"/>
      <c r="B88" s="40"/>
      <c r="C88" s="40"/>
      <c r="D88" s="40"/>
      <c r="E88" s="40"/>
      <c r="F88" s="40"/>
      <c r="G88" s="40"/>
      <c r="H88" s="40" t="s">
        <v>199</v>
      </c>
      <c r="I88" s="40">
        <f>$J$1/K83</f>
        <v>5.1851746433090309</v>
      </c>
      <c r="K88" s="65">
        <f>I88*$L$1</f>
        <v>0.51851746433090307</v>
      </c>
      <c r="L88" s="67">
        <f>L87/I88</f>
        <v>2986.5730149573897</v>
      </c>
      <c r="M88" s="67">
        <f>M87/I88</f>
        <v>2431.9472853954753</v>
      </c>
      <c r="N88" s="67">
        <f>N87/I88</f>
        <v>2627.7066046738728</v>
      </c>
      <c r="O88" s="67">
        <f>O87/I88</f>
        <v>2359.7659847837426</v>
      </c>
      <c r="P88" s="67">
        <f>P87/I88</f>
        <v>2914.391714345657</v>
      </c>
    </row>
    <row r="89" spans="1:16">
      <c r="A89" s="40"/>
      <c r="B89" s="40"/>
      <c r="C89" s="40"/>
      <c r="D89" s="40"/>
      <c r="E89" s="40"/>
      <c r="F89" s="40"/>
      <c r="G89" s="40"/>
      <c r="H89" s="40"/>
      <c r="I89" s="40"/>
      <c r="K89" s="23" t="s">
        <v>126</v>
      </c>
      <c r="L89" s="23" t="s">
        <v>1</v>
      </c>
      <c r="M89" s="23" t="s">
        <v>1</v>
      </c>
      <c r="N89" s="23" t="s">
        <v>1</v>
      </c>
      <c r="O89" s="23" t="s">
        <v>1</v>
      </c>
      <c r="P89" s="23" t="s">
        <v>1</v>
      </c>
    </row>
    <row r="90" spans="1:16">
      <c r="A90" s="40"/>
      <c r="B90" s="40"/>
      <c r="C90" s="40"/>
      <c r="D90" s="40"/>
      <c r="E90" s="40"/>
      <c r="F90" s="40"/>
      <c r="G90" s="40"/>
      <c r="H90" s="40"/>
      <c r="I90" s="68"/>
      <c r="J90" s="52"/>
      <c r="K90" s="52"/>
      <c r="L90" s="52"/>
      <c r="M90" s="52"/>
      <c r="N90" s="52"/>
      <c r="O90" s="52"/>
    </row>
    <row r="91" spans="1:16">
      <c r="A91" s="40"/>
      <c r="B91" s="40"/>
      <c r="C91" s="40"/>
      <c r="D91" s="40"/>
      <c r="E91" s="40"/>
      <c r="F91" s="40"/>
      <c r="G91" s="40"/>
      <c r="H91" s="40"/>
      <c r="I91" s="68"/>
      <c r="J91" s="52"/>
      <c r="K91" s="52"/>
      <c r="L91" s="52"/>
      <c r="M91" s="52"/>
      <c r="N91" s="52"/>
      <c r="O91" s="52"/>
    </row>
    <row r="92" spans="1:16">
      <c r="A92" s="40"/>
      <c r="B92" s="40"/>
      <c r="C92" s="40"/>
      <c r="D92" s="40"/>
      <c r="E92" s="40"/>
      <c r="F92" s="40"/>
      <c r="G92" s="40"/>
      <c r="H92" s="40"/>
      <c r="I92" s="68"/>
      <c r="J92" s="52"/>
      <c r="K92" s="51"/>
      <c r="L92" s="52"/>
      <c r="M92" s="52"/>
      <c r="N92" s="52"/>
      <c r="O92" s="52"/>
    </row>
    <row r="93" spans="1:16">
      <c r="A93" s="40"/>
      <c r="B93" s="40"/>
      <c r="C93" s="40"/>
      <c r="D93" s="40"/>
      <c r="E93" s="40"/>
      <c r="F93" s="40"/>
      <c r="G93" s="40"/>
      <c r="H93" s="40"/>
      <c r="I93" s="68"/>
      <c r="J93" s="52"/>
      <c r="K93" s="52"/>
      <c r="L93" s="52"/>
      <c r="M93" s="52"/>
      <c r="N93" s="52"/>
      <c r="O93" s="52"/>
    </row>
    <row r="94" spans="1:16">
      <c r="A94" s="40"/>
      <c r="B94" s="40"/>
      <c r="C94" s="40"/>
      <c r="D94" s="40"/>
      <c r="E94" s="40"/>
      <c r="F94" s="40"/>
      <c r="G94" s="40"/>
      <c r="H94" s="40"/>
      <c r="I94" s="68"/>
      <c r="J94" s="52"/>
      <c r="K94" s="52"/>
      <c r="L94" s="52"/>
      <c r="M94" s="52"/>
      <c r="N94" s="52"/>
      <c r="O94" s="52"/>
    </row>
    <row r="95" spans="1:16">
      <c r="A95" s="40"/>
      <c r="B95" s="40"/>
      <c r="C95" s="40"/>
      <c r="D95" s="40"/>
      <c r="E95" s="40"/>
      <c r="F95" s="40"/>
      <c r="G95" s="40"/>
      <c r="H95" s="40"/>
      <c r="I95" s="68"/>
      <c r="J95" s="52"/>
      <c r="K95" s="69"/>
      <c r="L95" s="69"/>
      <c r="M95" s="69"/>
      <c r="N95" s="69"/>
      <c r="O95" s="52"/>
    </row>
    <row r="96" spans="1:16" ht="14.25">
      <c r="A96" s="40"/>
      <c r="B96" s="40"/>
      <c r="C96" s="40"/>
      <c r="D96" s="40"/>
      <c r="E96" s="40"/>
      <c r="F96" s="40"/>
      <c r="G96" s="40"/>
      <c r="H96" s="40"/>
      <c r="I96" s="40"/>
      <c r="J96" s="63" t="s">
        <v>278</v>
      </c>
    </row>
    <row r="97" spans="1:33">
      <c r="A97" s="40"/>
      <c r="B97" s="40"/>
      <c r="C97" s="40"/>
      <c r="D97" s="40"/>
      <c r="E97" s="40"/>
      <c r="F97" s="40"/>
      <c r="G97" s="40"/>
      <c r="H97" s="40"/>
      <c r="I97" s="40"/>
      <c r="K97" s="51"/>
      <c r="L97" s="51"/>
      <c r="M97" s="52"/>
      <c r="N97" s="52"/>
    </row>
    <row r="98" spans="1:33">
      <c r="A98" s="40" t="s">
        <v>193</v>
      </c>
      <c r="B98" s="40" t="s">
        <v>195</v>
      </c>
      <c r="C98" s="40" t="s">
        <v>205</v>
      </c>
      <c r="D98" s="40"/>
      <c r="E98" s="40" t="s">
        <v>196</v>
      </c>
      <c r="F98" s="40" t="s">
        <v>206</v>
      </c>
      <c r="G98" s="40"/>
      <c r="H98" s="40" t="s">
        <v>197</v>
      </c>
      <c r="I98" s="40" t="s">
        <v>208</v>
      </c>
      <c r="K98" s="56" t="s">
        <v>209</v>
      </c>
      <c r="M98" s="56" t="s">
        <v>198</v>
      </c>
      <c r="N98" s="56" t="s">
        <v>211</v>
      </c>
      <c r="Y98" s="34" t="s">
        <v>280</v>
      </c>
    </row>
    <row r="99" spans="1:33">
      <c r="A99" s="40">
        <f>VLOOKUP(3,Norma!$A$31:$J$34,2,FALSE)</f>
        <v>1.5760000000000001</v>
      </c>
      <c r="B99" s="40">
        <f>VLOOKUP(3,Norma!$A$31:$J$34,3,FALSE)</f>
        <v>1.4790000000000001</v>
      </c>
      <c r="C99" s="40">
        <f>VLOOKUP(3,Norma!$A$31:$J$34,4,FALSE)</f>
        <v>1.5760000000000001</v>
      </c>
      <c r="D99" s="40"/>
      <c r="E99" s="40">
        <f>SQRT(1/(A99*B99))</f>
        <v>0.65499473104707739</v>
      </c>
      <c r="F99" s="40">
        <f>SQRT(1/(B99*C99))</f>
        <v>0.65499473104707739</v>
      </c>
      <c r="G99" s="40"/>
      <c r="H99" s="40">
        <f>$H$1*E99/$F$3</f>
        <v>0.18115840202582451</v>
      </c>
      <c r="I99" s="40">
        <f>$H$1*F99/$F$3</f>
        <v>0.18115840202582451</v>
      </c>
      <c r="K99" s="53">
        <f>2*PI()*$F$3^2*$L$1*A99/$H$1</f>
        <v>12.944781732669371</v>
      </c>
      <c r="L99" s="40">
        <f>1000000/((2*PI()*$F$3)^2*$L$1)</f>
        <v>19376.780195513053</v>
      </c>
      <c r="M99" s="53">
        <f>L99*H99</f>
        <v>3510.2665366247879</v>
      </c>
      <c r="N99" s="53">
        <f>L99*I99</f>
        <v>3510.2665366247879</v>
      </c>
    </row>
    <row r="100" spans="1:33">
      <c r="A100" s="40"/>
      <c r="B100" s="40"/>
      <c r="C100" s="40"/>
      <c r="D100" s="40"/>
      <c r="E100" s="40"/>
      <c r="F100" s="40"/>
      <c r="G100" s="40"/>
      <c r="H100" s="40"/>
      <c r="I100" s="40"/>
      <c r="K100" s="54">
        <f>I101*K99</f>
        <v>50</v>
      </c>
      <c r="M100" s="55">
        <f>M99/I101</f>
        <v>908.79268280202268</v>
      </c>
      <c r="N100" s="55">
        <f>N99/I101</f>
        <v>908.79268280202268</v>
      </c>
    </row>
    <row r="101" spans="1:33">
      <c r="A101" s="40"/>
      <c r="B101" s="40"/>
      <c r="C101" s="40"/>
      <c r="D101" s="40"/>
      <c r="E101" s="40"/>
      <c r="F101" s="40"/>
      <c r="G101" s="40"/>
      <c r="H101" s="40" t="s">
        <v>199</v>
      </c>
      <c r="I101" s="40">
        <f>$J$1/K99</f>
        <v>3.8625602990131989</v>
      </c>
      <c r="K101" s="23" t="s">
        <v>6</v>
      </c>
      <c r="L101" s="23" t="s">
        <v>1</v>
      </c>
      <c r="M101" s="23" t="s">
        <v>1</v>
      </c>
      <c r="N101" s="23" t="s">
        <v>1</v>
      </c>
    </row>
    <row r="102" spans="1:33">
      <c r="A102" s="40"/>
      <c r="B102" s="40"/>
      <c r="C102" s="40"/>
      <c r="D102" s="40"/>
      <c r="E102" s="40"/>
      <c r="F102" s="40"/>
      <c r="G102" s="40"/>
      <c r="H102" s="40"/>
      <c r="I102" s="40"/>
      <c r="L102" s="56" t="s">
        <v>22</v>
      </c>
      <c r="M102" s="56" t="s">
        <v>49</v>
      </c>
      <c r="N102" s="56" t="s">
        <v>40</v>
      </c>
    </row>
    <row r="103" spans="1:33" ht="14.25">
      <c r="A103" s="40"/>
      <c r="B103" s="40"/>
      <c r="C103" s="40"/>
      <c r="D103" s="40"/>
      <c r="E103" s="40"/>
      <c r="F103" s="40"/>
      <c r="G103" s="40"/>
      <c r="H103" s="40"/>
      <c r="I103" s="40"/>
      <c r="J103" s="64" t="s">
        <v>215</v>
      </c>
      <c r="K103" s="56" t="s">
        <v>42</v>
      </c>
      <c r="L103" s="53">
        <f>L99-M99</f>
        <v>15866.513658888265</v>
      </c>
      <c r="M103" s="53">
        <f>L99-M99-N99</f>
        <v>12356.247122263478</v>
      </c>
      <c r="N103" s="53">
        <f>L99-N99</f>
        <v>15866.513658888265</v>
      </c>
      <c r="AF103" s="70"/>
      <c r="AG103" s="71"/>
    </row>
    <row r="104" spans="1:33" ht="14.25">
      <c r="A104" s="40"/>
      <c r="B104" s="40"/>
      <c r="C104" s="40"/>
      <c r="D104" s="40"/>
      <c r="E104" s="40"/>
      <c r="F104" s="40"/>
      <c r="G104" s="40"/>
      <c r="H104" s="40"/>
      <c r="I104" s="40"/>
      <c r="K104" s="65">
        <f>I101*$L$1</f>
        <v>0.38625602990131991</v>
      </c>
      <c r="L104" s="72">
        <f>L103/I101</f>
        <v>4107.7711234545177</v>
      </c>
      <c r="M104" s="72">
        <f>M103/I101</f>
        <v>3198.978440652495</v>
      </c>
      <c r="N104" s="72">
        <f>N103/I101</f>
        <v>4107.7711234545177</v>
      </c>
      <c r="AF104" s="73"/>
      <c r="AG104" s="74"/>
    </row>
    <row r="105" spans="1:33">
      <c r="A105" s="40"/>
      <c r="B105" s="40"/>
      <c r="C105" s="40"/>
      <c r="D105" s="40"/>
      <c r="E105" s="40"/>
      <c r="F105" s="40"/>
      <c r="G105" s="40"/>
      <c r="H105" s="40"/>
      <c r="I105" s="40"/>
      <c r="K105" s="23" t="s">
        <v>126</v>
      </c>
      <c r="L105" s="23" t="s">
        <v>1</v>
      </c>
      <c r="M105" s="23" t="s">
        <v>1</v>
      </c>
      <c r="N105" s="23" t="s">
        <v>1</v>
      </c>
      <c r="AF105" s="75"/>
      <c r="AG105" s="76"/>
    </row>
    <row r="106" spans="1:33">
      <c r="A106" s="40"/>
      <c r="B106" s="40"/>
      <c r="C106" s="40"/>
      <c r="D106" s="40"/>
      <c r="E106" s="40"/>
      <c r="F106" s="40"/>
      <c r="G106" s="40"/>
      <c r="H106" s="40"/>
      <c r="I106" s="40"/>
    </row>
    <row r="107" spans="1:33">
      <c r="A107" s="40"/>
      <c r="B107" s="40"/>
      <c r="C107" s="40"/>
      <c r="D107" s="40"/>
      <c r="E107" s="40"/>
      <c r="F107" s="40"/>
      <c r="G107" s="40"/>
      <c r="H107" s="40"/>
      <c r="I107" s="40"/>
      <c r="AF107" s="23"/>
    </row>
    <row r="108" spans="1:33">
      <c r="A108" s="40"/>
      <c r="B108" s="40"/>
      <c r="C108" s="40"/>
      <c r="D108" s="40"/>
      <c r="E108" s="40"/>
      <c r="F108" s="40"/>
      <c r="G108" s="40"/>
      <c r="H108" s="40"/>
      <c r="I108" s="40"/>
      <c r="AF108" s="23"/>
    </row>
    <row r="109" spans="1:33">
      <c r="A109" s="40"/>
      <c r="B109" s="40"/>
      <c r="C109" s="40"/>
      <c r="D109" s="40"/>
      <c r="E109" s="40"/>
      <c r="F109" s="40"/>
      <c r="G109" s="40"/>
      <c r="H109" s="40"/>
      <c r="I109" s="40"/>
      <c r="AF109" s="23"/>
    </row>
    <row r="110" spans="1:33">
      <c r="A110" s="40">
        <f>VLOOKUP(5,Norma!$A$31:$J$34,2,FALSE)</f>
        <v>1.472</v>
      </c>
      <c r="B110" s="40">
        <f>VLOOKUP(5,Norma!$A$31:$J$34,3,FALSE)</f>
        <v>1.47</v>
      </c>
      <c r="C110" s="40">
        <f>VLOOKUP(5,Norma!$A$31:$J$34,4,FALSE)</f>
        <v>2.3809999999999998</v>
      </c>
      <c r="D110" s="40">
        <f>VLOOKUP(5,Norma!$A$31:$J$34,5,FALSE)</f>
        <v>1.47</v>
      </c>
      <c r="E110" s="40">
        <f>VLOOKUP(5,Norma!$A$31:$J$34,6,FALSE)</f>
        <v>1.472</v>
      </c>
      <c r="F110" s="40" t="s">
        <v>196</v>
      </c>
      <c r="G110" s="40" t="s">
        <v>206</v>
      </c>
      <c r="H110" s="40" t="s">
        <v>228</v>
      </c>
      <c r="I110" s="40" t="s">
        <v>267</v>
      </c>
      <c r="K110" s="56" t="s">
        <v>269</v>
      </c>
      <c r="M110" s="56" t="s">
        <v>271</v>
      </c>
      <c r="N110" s="56" t="s">
        <v>272</v>
      </c>
      <c r="O110" s="56" t="s">
        <v>273</v>
      </c>
      <c r="P110" s="56" t="s">
        <v>274</v>
      </c>
    </row>
    <row r="111" spans="1:33">
      <c r="A111" s="40"/>
      <c r="B111" s="40"/>
      <c r="C111" s="40"/>
      <c r="D111" s="40"/>
      <c r="E111" s="40"/>
      <c r="F111" s="40">
        <f>1/SQRT(A110*B110)</f>
        <v>0.67980981038114374</v>
      </c>
      <c r="G111" s="40">
        <f>1/SQRT(B110*C110)</f>
        <v>0.53451713868018758</v>
      </c>
      <c r="H111" s="40">
        <f>1/SQRT(C110*D110)</f>
        <v>0.53451713868018758</v>
      </c>
      <c r="I111" s="40">
        <f>1/SQRT(D110*E110)</f>
        <v>0.67980981038114374</v>
      </c>
      <c r="K111" s="53">
        <f>2*PI()*$F$3^2*$L$1*A110/$H$1</f>
        <v>12.090557557417076</v>
      </c>
      <c r="L111" s="40">
        <f>1000000/((2*PI()*$F$3)^2*$L$1)</f>
        <v>19376.780195513053</v>
      </c>
      <c r="M111" s="53">
        <f>L111*F114</f>
        <v>3643.2562210621149</v>
      </c>
      <c r="N111" s="40">
        <f>L111*G114</f>
        <v>2864.5995703843851</v>
      </c>
      <c r="O111" s="40">
        <f>L111*H114</f>
        <v>2864.5995703843851</v>
      </c>
      <c r="P111" s="40">
        <f>L111*I114</f>
        <v>3643.2562210621149</v>
      </c>
    </row>
    <row r="112" spans="1:33">
      <c r="A112" s="40"/>
      <c r="B112" s="40"/>
      <c r="C112" s="40"/>
      <c r="D112" s="40"/>
      <c r="E112" s="40"/>
      <c r="F112" s="40"/>
      <c r="G112" s="40"/>
      <c r="H112" s="40"/>
      <c r="I112" s="40"/>
      <c r="K112" s="54">
        <f>I116*K111</f>
        <v>50</v>
      </c>
      <c r="M112" s="55">
        <f>M111/I116</f>
        <v>880.97998074338659</v>
      </c>
      <c r="N112" s="55">
        <f>N111/I116</f>
        <v>692.69211969369269</v>
      </c>
      <c r="O112" s="55">
        <f>O111/I116</f>
        <v>692.69211969369269</v>
      </c>
      <c r="P112" s="55">
        <f>P111/I116</f>
        <v>880.97998074338659</v>
      </c>
    </row>
    <row r="113" spans="1:16">
      <c r="A113" s="40"/>
      <c r="B113" s="40"/>
      <c r="C113" s="40"/>
      <c r="D113" s="40"/>
      <c r="E113" s="40"/>
      <c r="F113" s="40" t="s">
        <v>197</v>
      </c>
      <c r="G113" s="40" t="s">
        <v>208</v>
      </c>
      <c r="H113" s="40" t="s">
        <v>237</v>
      </c>
      <c r="I113" s="40" t="s">
        <v>268</v>
      </c>
      <c r="K113" s="23" t="s">
        <v>270</v>
      </c>
      <c r="M113" s="23" t="s">
        <v>1</v>
      </c>
      <c r="N113" s="23" t="s">
        <v>1</v>
      </c>
      <c r="O113" s="23" t="s">
        <v>1</v>
      </c>
      <c r="P113" s="23" t="s">
        <v>1</v>
      </c>
    </row>
    <row r="114" spans="1:16">
      <c r="A114" s="40"/>
      <c r="B114" s="40"/>
      <c r="C114" s="40"/>
      <c r="D114" s="40"/>
      <c r="E114" s="40"/>
      <c r="F114" s="40">
        <f>$H$1*F111/$F$3</f>
        <v>0.18802175512656941</v>
      </c>
      <c r="G114" s="40">
        <f>$H$1*G111/$F$3</f>
        <v>0.14783671701285647</v>
      </c>
      <c r="H114" s="40">
        <f>$H$1*H111/$F$3</f>
        <v>0.14783671701285647</v>
      </c>
      <c r="I114" s="40">
        <f>$H$1*I111/$F$3</f>
        <v>0.18802175512656941</v>
      </c>
      <c r="L114" s="56" t="s">
        <v>22</v>
      </c>
      <c r="M114" s="56" t="s">
        <v>49</v>
      </c>
      <c r="N114" s="56" t="s">
        <v>40</v>
      </c>
      <c r="O114" s="56" t="s">
        <v>275</v>
      </c>
      <c r="P114" s="56" t="s">
        <v>276</v>
      </c>
    </row>
    <row r="115" spans="1:16" ht="14.25">
      <c r="A115" s="40"/>
      <c r="B115" s="40"/>
      <c r="C115" s="40"/>
      <c r="D115" s="40"/>
      <c r="E115" s="40"/>
      <c r="F115" s="40"/>
      <c r="G115" s="40"/>
      <c r="H115" s="40"/>
      <c r="I115" s="40"/>
      <c r="J115" s="64" t="s">
        <v>303</v>
      </c>
      <c r="K115" s="56" t="s">
        <v>42</v>
      </c>
      <c r="L115" s="40">
        <f>L111-M111</f>
        <v>15733.523974450938</v>
      </c>
      <c r="M115" s="40">
        <f>L111-M111-N111</f>
        <v>12868.924404066553</v>
      </c>
      <c r="N115" s="40">
        <f>L111-N111-O111</f>
        <v>13647.581054744283</v>
      </c>
      <c r="O115" s="40">
        <f>L111-O111-P111</f>
        <v>12868.924404066554</v>
      </c>
      <c r="P115" s="40">
        <f>L111-P111</f>
        <v>15733.523974450938</v>
      </c>
    </row>
    <row r="116" spans="1:16" ht="14.25">
      <c r="A116" s="40"/>
      <c r="B116" s="40"/>
      <c r="C116" s="40"/>
      <c r="D116" s="40"/>
      <c r="E116" s="40"/>
      <c r="F116" s="40"/>
      <c r="G116" s="40"/>
      <c r="H116" s="40" t="s">
        <v>199</v>
      </c>
      <c r="I116" s="40">
        <f>$J$1/K111</f>
        <v>4.135458581008697</v>
      </c>
      <c r="K116" s="65">
        <f>I116*$L$1</f>
        <v>0.41354585810086975</v>
      </c>
      <c r="L116" s="67">
        <f>L115/I116</f>
        <v>3804.541543882011</v>
      </c>
      <c r="M116" s="67">
        <f>M115/I116</f>
        <v>3111.8494241883182</v>
      </c>
      <c r="N116" s="67">
        <f>N115/I116</f>
        <v>3300.1372852380123</v>
      </c>
      <c r="O116" s="67">
        <f>O115/I116</f>
        <v>3111.8494241883186</v>
      </c>
      <c r="P116" s="67">
        <f>P115/I116</f>
        <v>3804.541543882011</v>
      </c>
    </row>
    <row r="117" spans="1:16">
      <c r="K117" s="23" t="s">
        <v>126</v>
      </c>
      <c r="L117" s="23" t="s">
        <v>1</v>
      </c>
      <c r="M117" s="23" t="s">
        <v>1</v>
      </c>
      <c r="N117" s="23" t="s">
        <v>1</v>
      </c>
      <c r="O117" s="23" t="s">
        <v>1</v>
      </c>
      <c r="P117" s="23" t="s">
        <v>1</v>
      </c>
    </row>
    <row r="118" spans="1:16">
      <c r="I118" s="52"/>
      <c r="J118" s="52"/>
      <c r="K118" s="52"/>
      <c r="L118" s="52"/>
      <c r="M118" s="52"/>
      <c r="N118" s="52"/>
      <c r="O118" s="52"/>
    </row>
  </sheetData>
  <sheetProtection algorithmName="SHA-512" hashValue="ncTTXsqCIpcPlf9bR9GMkX2D2ycag3ajsRDLHW/4MEBbKV1mifO/+X0ahQoNXAkUInk2N6bLgMFcEhOQxfgo8Q==" saltValue="6svNUCHFPm3lZ+gUHrb+2A==" spinCount="100000" sheet="1" objects="1" scenarios="1" formatCells="0"/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4"/>
  <sheetViews>
    <sheetView tabSelected="1" topLeftCell="A10" zoomScale="73" zoomScaleNormal="73" workbookViewId="0">
      <selection activeCell="AA60" sqref="AA60"/>
    </sheetView>
  </sheetViews>
  <sheetFormatPr defaultRowHeight="13.5"/>
  <cols>
    <col min="1" max="1" width="2" style="1" customWidth="1"/>
    <col min="2" max="2" width="2.25" style="1" customWidth="1"/>
    <col min="3" max="4" width="1.875" style="1" customWidth="1"/>
    <col min="5" max="5" width="2.375" style="1" customWidth="1"/>
    <col min="6" max="6" width="2.5" style="1" customWidth="1"/>
    <col min="7" max="23" width="9" style="1"/>
    <col min="24" max="24" width="6.125" style="1" customWidth="1"/>
    <col min="25" max="25" width="23.875" style="1" customWidth="1"/>
    <col min="26" max="26" width="10.875" style="1" customWidth="1"/>
    <col min="27" max="27" width="6.625" style="1" customWidth="1"/>
    <col min="28" max="16384" width="9" style="1"/>
  </cols>
  <sheetData>
    <row r="1" spans="1:21" ht="14.25">
      <c r="A1" s="117" t="s">
        <v>4</v>
      </c>
      <c r="B1" s="118">
        <f>Z64</f>
        <v>50</v>
      </c>
      <c r="C1" s="119" t="s">
        <v>36</v>
      </c>
    </row>
    <row r="2" spans="1:21" ht="17.25">
      <c r="A2" s="117" t="s">
        <v>32</v>
      </c>
      <c r="B2" s="118">
        <f>Z65</f>
        <v>3.6</v>
      </c>
      <c r="C2" s="119" t="s">
        <v>7</v>
      </c>
      <c r="F2" s="120" t="s">
        <v>325</v>
      </c>
    </row>
    <row r="3" spans="1:21" ht="17.25">
      <c r="A3" s="117" t="s">
        <v>33</v>
      </c>
      <c r="B3" s="118">
        <f>Z66</f>
        <v>0.93</v>
      </c>
      <c r="C3" s="119" t="s">
        <v>34</v>
      </c>
      <c r="F3" s="25" t="s">
        <v>327</v>
      </c>
      <c r="U3" s="1" t="s">
        <v>173</v>
      </c>
    </row>
    <row r="4" spans="1:21">
      <c r="A4" s="40"/>
      <c r="B4" s="40"/>
      <c r="C4" s="40"/>
    </row>
    <row r="5" spans="1:21">
      <c r="A5" s="88" t="s">
        <v>37</v>
      </c>
      <c r="B5" s="40">
        <f>SQRT((B2+B3/2)*(B2-B3/2))</f>
        <v>3.5698424334975911</v>
      </c>
      <c r="C5" s="40" t="s">
        <v>7</v>
      </c>
    </row>
    <row r="6" spans="1:21">
      <c r="E6" s="4" t="s">
        <v>178</v>
      </c>
      <c r="F6" s="121" t="s">
        <v>305</v>
      </c>
    </row>
    <row r="7" spans="1:21">
      <c r="G7" s="1" t="s">
        <v>47</v>
      </c>
      <c r="K7" s="1" t="s">
        <v>47</v>
      </c>
    </row>
    <row r="8" spans="1:21">
      <c r="B8" s="40" t="s">
        <v>174</v>
      </c>
      <c r="C8" s="40"/>
      <c r="D8" s="40" t="s">
        <v>138</v>
      </c>
      <c r="G8" s="4" t="s">
        <v>151</v>
      </c>
      <c r="H8" s="4" t="s">
        <v>158</v>
      </c>
      <c r="I8" s="1" t="s">
        <v>46</v>
      </c>
      <c r="K8" s="4" t="s">
        <v>154</v>
      </c>
      <c r="L8" s="4" t="s">
        <v>161</v>
      </c>
    </row>
    <row r="9" spans="1:21">
      <c r="B9" s="40">
        <f>VLOOKUP(3,Norma!$A$8:$K$16,2,FALSE)*1000*$B$1/(2*PI()*$B$3)</f>
        <v>8556.7173705320074</v>
      </c>
      <c r="C9" s="40" t="s">
        <v>139</v>
      </c>
      <c r="D9" s="40">
        <f>VLOOKUP(3,Norma!$A$8:$K$16,4,FALSE)*1000*$B$1/(2*PI()*$B$3)</f>
        <v>8556.7173705320074</v>
      </c>
      <c r="G9" s="122">
        <f>$B$9</f>
        <v>8556.7173705320074</v>
      </c>
      <c r="H9" s="92">
        <f>1000000000/((2*PI()*$B$5)^2*$B$9)</f>
        <v>232.292389147584</v>
      </c>
      <c r="I9" s="4" t="s">
        <v>167</v>
      </c>
      <c r="J9" s="4" t="s">
        <v>159</v>
      </c>
      <c r="K9" s="122">
        <f>$D$9</f>
        <v>8556.7173705320074</v>
      </c>
      <c r="L9" s="92">
        <f>1000000000/((2*PI()*$B$5)^2*K9)</f>
        <v>232.292389147584</v>
      </c>
    </row>
    <row r="10" spans="1:21">
      <c r="B10" s="40"/>
      <c r="C10" s="40">
        <f>VLOOKUP(3,Norma!$A$8:$K$16,3,FALSE)*1000000/($B$1*2*PI()*$B$3)</f>
        <v>6845.3738964256054</v>
      </c>
      <c r="D10" s="40"/>
      <c r="G10" s="3"/>
      <c r="H10" s="3"/>
      <c r="I10" s="92">
        <f>$C$10</f>
        <v>6845.3738964256054</v>
      </c>
      <c r="J10" s="122">
        <f>1000000000/((2*PI()*$B$5)^2*I10)</f>
        <v>290.36548643448003</v>
      </c>
      <c r="K10" s="3"/>
      <c r="L10" s="3"/>
    </row>
    <row r="11" spans="1:21">
      <c r="I11" s="3"/>
      <c r="J11" s="3"/>
    </row>
    <row r="12" spans="1:21">
      <c r="S12" s="123" t="s">
        <v>171</v>
      </c>
    </row>
    <row r="13" spans="1:21">
      <c r="G13" s="40" t="s">
        <v>9</v>
      </c>
      <c r="H13" s="40" t="s">
        <v>52</v>
      </c>
    </row>
    <row r="14" spans="1:21">
      <c r="G14" s="40">
        <f>I10*J10/G9</f>
        <v>232.292389147584</v>
      </c>
      <c r="H14" s="40">
        <f>10000*SQRT(I10*10/G9)/(2*PI()*$B$5)</f>
        <v>1261.002877478561</v>
      </c>
      <c r="K14" s="4" t="s">
        <v>168</v>
      </c>
      <c r="L14" s="4" t="s">
        <v>158</v>
      </c>
      <c r="N14" s="18" t="s">
        <v>159</v>
      </c>
      <c r="O14" s="18" t="s">
        <v>140</v>
      </c>
      <c r="Q14" s="4" t="s">
        <v>170</v>
      </c>
      <c r="R14" s="4" t="s">
        <v>161</v>
      </c>
    </row>
    <row r="15" spans="1:21">
      <c r="G15" s="46" t="s">
        <v>1</v>
      </c>
      <c r="H15" s="40"/>
      <c r="K15" s="124">
        <f>G9</f>
        <v>8556.7173705320074</v>
      </c>
      <c r="L15" s="125">
        <f>H9*(-H14)/(H9-H14)</f>
        <v>284.74616955322483</v>
      </c>
      <c r="M15" s="4" t="s">
        <v>169</v>
      </c>
      <c r="N15" s="124">
        <f>G9</f>
        <v>8556.7173705320074</v>
      </c>
      <c r="O15" s="125">
        <f>H9*(-H17)/(H9-H17)</f>
        <v>367.79848603619121</v>
      </c>
      <c r="P15" s="4" t="s">
        <v>169</v>
      </c>
      <c r="Q15" s="124">
        <f>G9</f>
        <v>8556.7173705320074</v>
      </c>
      <c r="R15" s="125">
        <f>H9*(-H14)/(H9-H14)</f>
        <v>284.74616955322483</v>
      </c>
    </row>
    <row r="16" spans="1:21">
      <c r="G16" s="40"/>
      <c r="H16" s="40"/>
      <c r="L16" s="4"/>
      <c r="M16" s="125">
        <f>H14</f>
        <v>1261.002877478561</v>
      </c>
      <c r="O16" s="4"/>
      <c r="P16" s="125">
        <f>H14</f>
        <v>1261.002877478561</v>
      </c>
    </row>
    <row r="17" spans="2:18">
      <c r="G17" s="40"/>
      <c r="H17" s="40">
        <f>H14*H14/(H14+H14)</f>
        <v>630.5014387392805</v>
      </c>
    </row>
    <row r="19" spans="2:18">
      <c r="B19" s="40" t="s">
        <v>137</v>
      </c>
      <c r="C19" s="40"/>
      <c r="D19" s="40" t="s">
        <v>138</v>
      </c>
    </row>
    <row r="20" spans="2:18">
      <c r="B20" s="40">
        <f>VLOOKUP(3,Norma!$A$19:$J$22,2,FALSE)*1000*$B$1/(2*PI()*$B$3)</f>
        <v>10105.4832145983</v>
      </c>
      <c r="C20" s="40" t="s">
        <v>139</v>
      </c>
      <c r="D20" s="40">
        <f>VLOOKUP(3,Norma!$A$19:$J$22,4,FALSE)*1000*$B$1/(2*PI()*$B$3)</f>
        <v>10105.4832145983</v>
      </c>
      <c r="E20" s="4" t="s">
        <v>177</v>
      </c>
      <c r="F20" s="121" t="s">
        <v>306</v>
      </c>
    </row>
    <row r="21" spans="2:18">
      <c r="B21" s="40"/>
      <c r="C21" s="40">
        <f>VLOOKUP(3,Norma!$A$19:$J$22,3,FALSE)*1000000/($B$1*2*PI()*$B$3)</f>
        <v>6232.7129326955137</v>
      </c>
      <c r="D21" s="40"/>
      <c r="G21" s="1" t="s">
        <v>47</v>
      </c>
      <c r="K21" s="1" t="s">
        <v>47</v>
      </c>
    </row>
    <row r="22" spans="2:18">
      <c r="G22" s="4" t="s">
        <v>151</v>
      </c>
      <c r="H22" s="4" t="s">
        <v>158</v>
      </c>
      <c r="I22" s="1" t="s">
        <v>46</v>
      </c>
      <c r="K22" s="4" t="s">
        <v>154</v>
      </c>
      <c r="L22" s="4" t="s">
        <v>161</v>
      </c>
    </row>
    <row r="23" spans="2:18">
      <c r="G23" s="122">
        <f>B20</f>
        <v>10105.4832145983</v>
      </c>
      <c r="H23" s="92">
        <f>1000000000/((2*PI()*$B$5)^2*$B$20)</f>
        <v>196.69126938830146</v>
      </c>
      <c r="I23" s="4" t="s">
        <v>167</v>
      </c>
      <c r="J23" s="4" t="s">
        <v>159</v>
      </c>
      <c r="K23" s="122">
        <f>D20</f>
        <v>10105.4832145983</v>
      </c>
      <c r="L23" s="92">
        <f>1000000000/((2*PI()*$B$5)^2*K23)</f>
        <v>196.69126938830146</v>
      </c>
    </row>
    <row r="24" spans="2:18">
      <c r="G24" s="3"/>
      <c r="H24" s="3"/>
      <c r="I24" s="92">
        <f>$C$21</f>
        <v>6232.7129326955137</v>
      </c>
      <c r="J24" s="122">
        <f>1000000000/((2*PI()*$B$5)^2*I24)</f>
        <v>318.90772809937397</v>
      </c>
      <c r="K24" s="3"/>
      <c r="L24" s="3"/>
    </row>
    <row r="25" spans="2:18">
      <c r="I25" s="3"/>
      <c r="J25" s="3"/>
    </row>
    <row r="27" spans="2:18">
      <c r="G27" s="40" t="s">
        <v>9</v>
      </c>
      <c r="H27" s="40" t="s">
        <v>52</v>
      </c>
    </row>
    <row r="28" spans="2:18">
      <c r="G28" s="40">
        <f>I24*J24/G23</f>
        <v>196.69126938830144</v>
      </c>
      <c r="H28" s="40">
        <f>10000*SQRT(I24*10/G23)/(2*PI()*$B$5)</f>
        <v>1107.2128153452541</v>
      </c>
      <c r="K28" s="4" t="s">
        <v>168</v>
      </c>
      <c r="L28" s="4" t="s">
        <v>158</v>
      </c>
      <c r="N28" s="18" t="s">
        <v>159</v>
      </c>
      <c r="O28" s="18" t="s">
        <v>140</v>
      </c>
      <c r="Q28" s="4" t="s">
        <v>170</v>
      </c>
      <c r="R28" s="4" t="s">
        <v>161</v>
      </c>
    </row>
    <row r="29" spans="2:18">
      <c r="G29" s="46" t="s">
        <v>1</v>
      </c>
      <c r="H29" s="40"/>
      <c r="K29" s="124">
        <f>G23</f>
        <v>10105.4832145983</v>
      </c>
      <c r="L29" s="125">
        <f>H23*(-H28)/(H23-H28)</f>
        <v>239.18060489647013</v>
      </c>
      <c r="M29" s="4" t="s">
        <v>169</v>
      </c>
      <c r="N29" s="124">
        <f>G23</f>
        <v>10105.4832145983</v>
      </c>
      <c r="O29" s="125">
        <f>H23*(-H31)/(H23-H31)</f>
        <v>305.08525805336672</v>
      </c>
      <c r="P29" s="4" t="s">
        <v>169</v>
      </c>
      <c r="Q29" s="124">
        <f>G23</f>
        <v>10105.4832145983</v>
      </c>
      <c r="R29" s="125">
        <f>H23*(-H28)/(H23-H28)</f>
        <v>239.18060489647013</v>
      </c>
    </row>
    <row r="30" spans="2:18">
      <c r="G30" s="40"/>
      <c r="H30" s="40"/>
      <c r="M30" s="125">
        <f>H28</f>
        <v>1107.2128153452541</v>
      </c>
      <c r="P30" s="125">
        <f>H28</f>
        <v>1107.2128153452541</v>
      </c>
    </row>
    <row r="31" spans="2:18">
      <c r="G31" s="40"/>
      <c r="H31" s="40">
        <f>H28*H28/(H28+H28)</f>
        <v>553.60640767262703</v>
      </c>
    </row>
    <row r="33" spans="2:26">
      <c r="B33" s="40" t="s">
        <v>137</v>
      </c>
      <c r="C33" s="40"/>
      <c r="D33" s="40" t="s">
        <v>138</v>
      </c>
    </row>
    <row r="34" spans="2:26">
      <c r="B34" s="40">
        <f>VLOOKUP(3,Norma!$A$25:$J$28,2,FALSE)*1000*$B$1/(2*PI()*$B$3)</f>
        <v>11380.434102807569</v>
      </c>
      <c r="C34" s="40" t="s">
        <v>139</v>
      </c>
      <c r="D34" s="40">
        <f>VLOOKUP(3,Norma!$A$25:$J$28,4,FALSE)*1000*$B$1/(2*PI()*$B$3)</f>
        <v>11380.434102807569</v>
      </c>
      <c r="E34" s="4" t="s">
        <v>179</v>
      </c>
      <c r="F34" s="121" t="s">
        <v>307</v>
      </c>
    </row>
    <row r="35" spans="2:26">
      <c r="B35" s="40"/>
      <c r="C35" s="40">
        <f>VLOOKUP(3,Norma!$A$25:$J$28,3,FALSE)*1000000/($B$1*2*PI()*$B$3)</f>
        <v>5760.3821338421467</v>
      </c>
      <c r="D35" s="40"/>
      <c r="G35" s="1" t="s">
        <v>47</v>
      </c>
      <c r="K35" s="1" t="s">
        <v>47</v>
      </c>
    </row>
    <row r="36" spans="2:26">
      <c r="G36" s="4" t="s">
        <v>151</v>
      </c>
      <c r="H36" s="4" t="s">
        <v>158</v>
      </c>
      <c r="I36" s="1" t="s">
        <v>46</v>
      </c>
      <c r="K36" s="4" t="s">
        <v>154</v>
      </c>
      <c r="L36" s="4" t="s">
        <v>161</v>
      </c>
    </row>
    <row r="37" spans="2:26">
      <c r="G37" s="122">
        <f>B34</f>
        <v>11380.434102807569</v>
      </c>
      <c r="H37" s="92">
        <f>1000000000/((2*PI()*$B$5)^2*$B$34)</f>
        <v>174.65593168991279</v>
      </c>
      <c r="I37" s="4" t="s">
        <v>167</v>
      </c>
      <c r="J37" s="4" t="s">
        <v>159</v>
      </c>
      <c r="K37" s="122">
        <f>D34</f>
        <v>11380.434102807569</v>
      </c>
      <c r="L37" s="92">
        <f>1000000000/((2*PI()*$B$5)^2*K37)</f>
        <v>174.65593168991279</v>
      </c>
    </row>
    <row r="38" spans="2:26">
      <c r="G38" s="3"/>
      <c r="H38" s="3"/>
      <c r="I38" s="92">
        <f>$C$35</f>
        <v>5760.3821338421467</v>
      </c>
      <c r="J38" s="122">
        <f>1000000000/((2*PI()*$B$5)^2*I38)</f>
        <v>345.05702487757583</v>
      </c>
      <c r="K38" s="3"/>
      <c r="L38" s="3"/>
    </row>
    <row r="39" spans="2:26">
      <c r="I39" s="3"/>
      <c r="J39" s="3"/>
      <c r="S39" s="123" t="s">
        <v>171</v>
      </c>
    </row>
    <row r="41" spans="2:26">
      <c r="G41" s="40" t="s">
        <v>9</v>
      </c>
      <c r="H41" s="40" t="s">
        <v>52</v>
      </c>
      <c r="Z41" s="138"/>
    </row>
    <row r="42" spans="2:26">
      <c r="G42" s="40">
        <f>I38*J38/G37</f>
        <v>174.65593168991282</v>
      </c>
      <c r="H42" s="40">
        <f>10000*SQRT(I38*10/G37)/(2*PI()*$B$5)</f>
        <v>1003.0378400021249</v>
      </c>
      <c r="K42" s="4" t="s">
        <v>168</v>
      </c>
      <c r="L42" s="4" t="s">
        <v>158</v>
      </c>
      <c r="N42" s="18" t="s">
        <v>159</v>
      </c>
      <c r="O42" s="18" t="s">
        <v>140</v>
      </c>
      <c r="Q42" s="4" t="s">
        <v>170</v>
      </c>
      <c r="R42" s="4" t="s">
        <v>161</v>
      </c>
    </row>
    <row r="43" spans="2:26">
      <c r="G43" s="46" t="s">
        <v>1</v>
      </c>
      <c r="H43" s="40"/>
      <c r="K43" s="124">
        <f>G37</f>
        <v>11380.434102807569</v>
      </c>
      <c r="L43" s="125">
        <f>H37*(-H42)/(H37-H42)</f>
        <v>211.48036516483415</v>
      </c>
      <c r="M43" s="4" t="s">
        <v>169</v>
      </c>
      <c r="N43" s="124">
        <f>G37</f>
        <v>11380.434102807569</v>
      </c>
      <c r="O43" s="125">
        <f>H37*(-H45)/(H37-H45)</f>
        <v>267.98156219976187</v>
      </c>
      <c r="P43" s="4" t="s">
        <v>169</v>
      </c>
      <c r="Q43" s="124">
        <f>G37</f>
        <v>11380.434102807569</v>
      </c>
      <c r="R43" s="125">
        <f>H37*(-H42)/(H37-H42)</f>
        <v>211.48036516483415</v>
      </c>
    </row>
    <row r="44" spans="2:26">
      <c r="G44" s="40"/>
      <c r="H44" s="40"/>
      <c r="L44" s="1" t="s">
        <v>52</v>
      </c>
      <c r="M44" s="125">
        <f>H42</f>
        <v>1003.0378400021249</v>
      </c>
      <c r="P44" s="125">
        <f>H42</f>
        <v>1003.0378400021249</v>
      </c>
    </row>
    <row r="45" spans="2:26">
      <c r="G45" s="40"/>
      <c r="H45" s="40">
        <f>H42*H42/(H42+H42)</f>
        <v>501.51892000106244</v>
      </c>
    </row>
    <row r="47" spans="2:26">
      <c r="B47" s="40" t="s">
        <v>137</v>
      </c>
      <c r="C47" s="40"/>
      <c r="D47" s="40" t="s">
        <v>138</v>
      </c>
    </row>
    <row r="48" spans="2:26">
      <c r="B48" s="40">
        <f>VLOOKUP(3,Norma!$A$31:$J$34,2,FALSE)*1000*$B$1/(2*PI()*$B$3)</f>
        <v>13485.386575958442</v>
      </c>
      <c r="C48" s="40" t="s">
        <v>139</v>
      </c>
      <c r="D48" s="40">
        <f>VLOOKUP(3,Norma!$A$31:$J$34,4,FALSE)*1000*$B$1/(2*PI()*$B$3)</f>
        <v>13485.386575958442</v>
      </c>
      <c r="E48" s="4" t="s">
        <v>180</v>
      </c>
      <c r="F48" s="121" t="s">
        <v>308</v>
      </c>
    </row>
    <row r="49" spans="2:27">
      <c r="B49" s="40"/>
      <c r="C49" s="40">
        <f>VLOOKUP(3,Norma!$A$31:$J$34,3,FALSE)*1000000/($B$1*2*PI()*$B$3)</f>
        <v>5062.1539964067351</v>
      </c>
      <c r="D49" s="40"/>
      <c r="G49" s="1" t="s">
        <v>47</v>
      </c>
      <c r="K49" s="1" t="s">
        <v>47</v>
      </c>
    </row>
    <row r="50" spans="2:27">
      <c r="G50" s="4" t="s">
        <v>151</v>
      </c>
      <c r="H50" s="4" t="s">
        <v>158</v>
      </c>
      <c r="I50" s="1" t="s">
        <v>46</v>
      </c>
      <c r="K50" s="4" t="s">
        <v>154</v>
      </c>
      <c r="L50" s="4" t="s">
        <v>161</v>
      </c>
    </row>
    <row r="51" spans="2:27">
      <c r="G51" s="122">
        <f>B48</f>
        <v>13485.386575958442</v>
      </c>
      <c r="H51" s="92">
        <f>1000000000/((2*PI()*$B$5)^2*$B$48)</f>
        <v>147.39364793628428</v>
      </c>
      <c r="I51" s="4" t="s">
        <v>167</v>
      </c>
      <c r="J51" s="4" t="s">
        <v>159</v>
      </c>
      <c r="K51" s="122">
        <f>D48</f>
        <v>13485.386575958442</v>
      </c>
      <c r="L51" s="92">
        <f>1000000000/((2*PI()*$B$5)^2*K51)</f>
        <v>147.39364793628428</v>
      </c>
    </row>
    <row r="52" spans="2:27">
      <c r="G52" s="3"/>
      <c r="H52" s="3"/>
      <c r="I52" s="92">
        <f>$C$49</f>
        <v>5062.1539964067351</v>
      </c>
      <c r="J52" s="122">
        <f>1000000000/((2*PI()*$B$5)^2*I52)</f>
        <v>392.65109727448277</v>
      </c>
      <c r="K52" s="3"/>
      <c r="L52" s="3"/>
    </row>
    <row r="53" spans="2:27">
      <c r="I53" s="3"/>
      <c r="J53" s="3"/>
    </row>
    <row r="55" spans="2:27">
      <c r="G55" s="40" t="s">
        <v>9</v>
      </c>
      <c r="H55" s="40" t="s">
        <v>52</v>
      </c>
    </row>
    <row r="56" spans="2:27" ht="14.25">
      <c r="G56" s="40">
        <f>I52*J52/G51</f>
        <v>147.39364793628425</v>
      </c>
      <c r="H56" s="40">
        <f>10000*SQRT(I52*10/G51)/(2*PI()*$B$5)</f>
        <v>863.78778872222358</v>
      </c>
      <c r="K56" s="4" t="s">
        <v>168</v>
      </c>
      <c r="L56" s="4" t="s">
        <v>158</v>
      </c>
      <c r="N56" s="18" t="s">
        <v>159</v>
      </c>
      <c r="O56" s="18" t="s">
        <v>140</v>
      </c>
      <c r="Q56" s="4" t="s">
        <v>170</v>
      </c>
      <c r="R56" s="4" t="s">
        <v>161</v>
      </c>
      <c r="Z56" s="126" t="s">
        <v>326</v>
      </c>
    </row>
    <row r="57" spans="2:27">
      <c r="G57" s="46" t="s">
        <v>1</v>
      </c>
      <c r="H57" s="40"/>
      <c r="K57" s="124">
        <f>G51</f>
        <v>13485.386575958442</v>
      </c>
      <c r="L57" s="125">
        <f>H51*(-H56)/(H51-H56)</f>
        <v>177.71897615313912</v>
      </c>
      <c r="M57" s="4" t="s">
        <v>169</v>
      </c>
      <c r="N57" s="124">
        <f>G51</f>
        <v>13485.386575958442</v>
      </c>
      <c r="O57" s="125">
        <f>G56*(-H59)/(G56-H59)</f>
        <v>223.75522485922588</v>
      </c>
      <c r="P57" s="4" t="s">
        <v>169</v>
      </c>
      <c r="Q57" s="124">
        <f>G51</f>
        <v>13485.386575958442</v>
      </c>
      <c r="R57" s="125">
        <f>H51*(-H56)/(H51-H56)</f>
        <v>177.71897615313912</v>
      </c>
    </row>
    <row r="58" spans="2:27">
      <c r="G58" s="40"/>
      <c r="H58" s="40"/>
      <c r="L58" s="1" t="s">
        <v>52</v>
      </c>
      <c r="M58" s="125">
        <f>H56</f>
        <v>863.78778872222358</v>
      </c>
      <c r="P58" s="125">
        <f>H56</f>
        <v>863.78778872222358</v>
      </c>
    </row>
    <row r="59" spans="2:27">
      <c r="G59" s="40"/>
      <c r="H59" s="40">
        <f>H56*H56/(H56+H56)</f>
        <v>431.89389436111179</v>
      </c>
    </row>
    <row r="61" spans="2:27">
      <c r="J61" s="79"/>
    </row>
    <row r="64" spans="2:27" ht="17.25">
      <c r="F64" s="127" t="s">
        <v>172</v>
      </c>
      <c r="Y64" s="128" t="s">
        <v>4</v>
      </c>
      <c r="Z64" s="116">
        <v>50</v>
      </c>
      <c r="AA64" s="129" t="s">
        <v>6</v>
      </c>
    </row>
    <row r="65" spans="2:27" ht="17.25">
      <c r="Y65" s="128" t="s">
        <v>32</v>
      </c>
      <c r="Z65" s="116">
        <v>3.6</v>
      </c>
      <c r="AA65" s="129" t="s">
        <v>7</v>
      </c>
    </row>
    <row r="66" spans="2:27" ht="17.25">
      <c r="G66" s="4" t="s">
        <v>178</v>
      </c>
      <c r="H66" s="121" t="s">
        <v>304</v>
      </c>
      <c r="Y66" s="128" t="s">
        <v>33</v>
      </c>
      <c r="Z66" s="116">
        <v>0.93</v>
      </c>
      <c r="AA66" s="129" t="s">
        <v>7</v>
      </c>
    </row>
    <row r="67" spans="2:27">
      <c r="B67" s="40" t="s">
        <v>143</v>
      </c>
      <c r="C67" s="40"/>
      <c r="D67" s="40" t="s">
        <v>145</v>
      </c>
      <c r="E67" s="40"/>
      <c r="F67" s="40" t="s">
        <v>147</v>
      </c>
      <c r="H67" s="1" t="s">
        <v>47</v>
      </c>
      <c r="L67" s="1" t="s">
        <v>47</v>
      </c>
      <c r="P67" s="1" t="s">
        <v>47</v>
      </c>
    </row>
    <row r="68" spans="2:27">
      <c r="B68" s="40">
        <f>VLOOKUP(5,Norma!$A$8:$K$16,2,FALSE)*1000*$B$1/(2*PI()*$B$3)</f>
        <v>5288.0513349887797</v>
      </c>
      <c r="C68" s="40" t="s">
        <v>144</v>
      </c>
      <c r="D68" s="40">
        <f>VLOOKUP(5,Norma!$A$8:$K$16,4,FALSE)*1000*$B$1/(2*PI()*$B$3)</f>
        <v>17113.434741064015</v>
      </c>
      <c r="E68" s="40" t="s">
        <v>146</v>
      </c>
      <c r="F68" s="40">
        <f>VLOOKUP(5,Norma!$A$8:$K$16,6,FALSE)*1000*$B$1/(2*PI()*$B$3)</f>
        <v>5288.0513349887797</v>
      </c>
      <c r="H68" s="4" t="s">
        <v>151</v>
      </c>
      <c r="I68" s="4" t="s">
        <v>141</v>
      </c>
      <c r="J68" s="1" t="s">
        <v>46</v>
      </c>
      <c r="L68" s="4" t="s">
        <v>154</v>
      </c>
      <c r="M68" s="4" t="s">
        <v>141</v>
      </c>
      <c r="N68" s="1" t="s">
        <v>46</v>
      </c>
      <c r="P68" s="4" t="s">
        <v>156</v>
      </c>
      <c r="Q68" s="4" t="s">
        <v>141</v>
      </c>
    </row>
    <row r="69" spans="2:27">
      <c r="B69" s="40"/>
      <c r="C69" s="40">
        <f>VLOOKUP(5,Norma!$A$8:$K$16,3,FALSE)*1000000/($B$1*2*PI()*$B$3)</f>
        <v>5537.9074822083148</v>
      </c>
      <c r="D69" s="40"/>
      <c r="E69" s="40">
        <f>VLOOKUP(5,Norma!$A$8:$K$16,5,FALSE)*1000000/($B$1*2*PI()*$B$3)</f>
        <v>5537.9074822083148</v>
      </c>
      <c r="F69" s="40"/>
      <c r="H69" s="130">
        <f>B68</f>
        <v>5288.0513349887797</v>
      </c>
      <c r="I69" s="92">
        <f>1000000000/((2*PI()*$B$5)^2*B68)</f>
        <v>375.877652342369</v>
      </c>
      <c r="J69" s="18" t="s">
        <v>152</v>
      </c>
      <c r="K69" s="18" t="s">
        <v>153</v>
      </c>
      <c r="L69" s="130">
        <f>D68</f>
        <v>17113.434741064015</v>
      </c>
      <c r="M69" s="92">
        <f>1000000000/((2*PI()*$B$5)^2*L69)</f>
        <v>116.146194573792</v>
      </c>
      <c r="N69" s="18" t="s">
        <v>155</v>
      </c>
      <c r="O69" s="18" t="s">
        <v>135</v>
      </c>
      <c r="P69" s="130">
        <f>F68</f>
        <v>5288.0513349887797</v>
      </c>
      <c r="Q69" s="92">
        <f>1000000000/((2*PI()*$B$5)^2*P69)</f>
        <v>375.877652342369</v>
      </c>
    </row>
    <row r="70" spans="2:27">
      <c r="B70" s="40"/>
      <c r="C70" s="40"/>
      <c r="D70" s="40"/>
      <c r="E70" s="40"/>
      <c r="F70" s="40"/>
      <c r="H70" s="21"/>
      <c r="I70" s="21"/>
      <c r="J70" s="92">
        <f>C69</f>
        <v>5537.9074822083148</v>
      </c>
      <c r="K70" s="130">
        <f>1000000000/((2*PI()*$B$5)^2*J70)</f>
        <v>358.91901907846727</v>
      </c>
      <c r="L70" s="19"/>
      <c r="M70" s="19"/>
      <c r="N70" s="92">
        <f>E69</f>
        <v>5537.9074822083148</v>
      </c>
      <c r="O70" s="130">
        <f>1000000000/((2*PI()*$B$5)^2*N70)</f>
        <v>358.91901907846727</v>
      </c>
      <c r="P70" s="19"/>
      <c r="Q70" s="19"/>
    </row>
    <row r="71" spans="2:27">
      <c r="B71" s="40" t="s">
        <v>144</v>
      </c>
      <c r="C71" s="40" t="s">
        <v>148</v>
      </c>
      <c r="D71" s="40"/>
      <c r="E71" s="40" t="s">
        <v>149</v>
      </c>
      <c r="F71" s="40" t="s">
        <v>150</v>
      </c>
      <c r="K71" s="3"/>
      <c r="N71" s="131"/>
      <c r="O71" s="3"/>
    </row>
    <row r="72" spans="2:27">
      <c r="B72" s="40">
        <f>J70*K70/H69</f>
        <v>375.877652342369</v>
      </c>
      <c r="C72" s="40">
        <f>10000*SQRT(J70*10/H69)/(2*PI()*$B$5)</f>
        <v>1442.7666697362056</v>
      </c>
      <c r="D72" s="40"/>
      <c r="E72" s="40">
        <f>L69*M69/H69</f>
        <v>375.877652342369</v>
      </c>
      <c r="F72" s="40">
        <f>10000*SQRT(N70*10/H69)/(2*PI()*$B$5)</f>
        <v>1442.7666697362056</v>
      </c>
    </row>
    <row r="73" spans="2:27">
      <c r="B73" s="40"/>
      <c r="C73" s="40"/>
      <c r="D73" s="40"/>
      <c r="E73" s="40"/>
      <c r="F73" s="40"/>
    </row>
    <row r="74" spans="2:27">
      <c r="B74" s="40"/>
      <c r="C74" s="40"/>
      <c r="D74" s="40"/>
      <c r="E74" s="40"/>
      <c r="F74" s="40"/>
      <c r="H74" s="4" t="s">
        <v>157</v>
      </c>
      <c r="I74" s="4" t="s">
        <v>158</v>
      </c>
      <c r="J74" s="4"/>
      <c r="K74" s="4" t="s">
        <v>159</v>
      </c>
      <c r="L74" s="4" t="s">
        <v>160</v>
      </c>
      <c r="M74" s="4"/>
      <c r="N74" s="4" t="s">
        <v>154</v>
      </c>
      <c r="O74" s="4" t="s">
        <v>161</v>
      </c>
      <c r="P74" s="4"/>
      <c r="Q74" s="4" t="s">
        <v>162</v>
      </c>
      <c r="R74" s="4" t="s">
        <v>155</v>
      </c>
      <c r="S74" s="4"/>
      <c r="T74" s="4" t="s">
        <v>163</v>
      </c>
      <c r="U74" s="4" t="s">
        <v>164</v>
      </c>
    </row>
    <row r="75" spans="2:27">
      <c r="B75" s="40"/>
      <c r="C75" s="40">
        <f>C72*C72/(C72+C72)</f>
        <v>721.38333486810279</v>
      </c>
      <c r="D75" s="40"/>
      <c r="E75" s="40"/>
      <c r="F75" s="40">
        <f>F72*F72/(F72+F72)</f>
        <v>721.38333486810279</v>
      </c>
      <c r="H75" s="132">
        <f>H69</f>
        <v>5288.0513349887797</v>
      </c>
      <c r="I75" s="133">
        <f>I69*(-C72)/(I69-C72)</f>
        <v>508.30380654117681</v>
      </c>
      <c r="J75" s="18" t="s">
        <v>165</v>
      </c>
      <c r="K75" s="132">
        <f>H69</f>
        <v>5288.0513349887797</v>
      </c>
      <c r="L75" s="133">
        <f>B72*(-C75)/(B72-C75)</f>
        <v>784.7971482464277</v>
      </c>
      <c r="M75" s="18" t="s">
        <v>165</v>
      </c>
      <c r="N75" s="132">
        <f>L69</f>
        <v>17113.434741064015</v>
      </c>
      <c r="O75" s="133">
        <f>M69*(-C75)/(M69-C75)</f>
        <v>138.43487716754913</v>
      </c>
      <c r="P75" s="18" t="s">
        <v>165</v>
      </c>
      <c r="Q75" s="132">
        <f>H69</f>
        <v>5288.0513349887797</v>
      </c>
      <c r="R75" s="133">
        <f>Q69*(-C75)/(Q69-C75)</f>
        <v>784.7971482464277</v>
      </c>
      <c r="S75" s="18" t="s">
        <v>166</v>
      </c>
      <c r="T75" s="132">
        <f>H69</f>
        <v>5288.0513349887797</v>
      </c>
      <c r="U75" s="133">
        <f>Q69*(-C72)/(Q69-C72)</f>
        <v>508.30380654117681</v>
      </c>
      <c r="W75" s="1" t="s">
        <v>324</v>
      </c>
    </row>
    <row r="76" spans="2:27">
      <c r="H76" s="21"/>
      <c r="I76" s="19"/>
      <c r="J76" s="133">
        <f>C72</f>
        <v>1442.7666697362056</v>
      </c>
      <c r="K76" s="21"/>
      <c r="L76" s="21"/>
      <c r="M76" s="133">
        <f>C72</f>
        <v>1442.7666697362056</v>
      </c>
      <c r="N76" s="21"/>
      <c r="O76" s="21"/>
      <c r="P76" s="133">
        <f>C72</f>
        <v>1442.7666697362056</v>
      </c>
      <c r="Q76" s="21"/>
      <c r="R76" s="21"/>
      <c r="S76" s="133">
        <f>C72</f>
        <v>1442.7666697362056</v>
      </c>
      <c r="T76" s="21"/>
      <c r="U76" s="21"/>
    </row>
    <row r="77" spans="2:27">
      <c r="H77" s="21"/>
      <c r="I77" s="21"/>
      <c r="J77" s="19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2:27"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2:27"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3" spans="2:23">
      <c r="G83" s="4" t="s">
        <v>177</v>
      </c>
      <c r="H83" s="134" t="s">
        <v>309</v>
      </c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2:23">
      <c r="B84" s="40" t="s">
        <v>143</v>
      </c>
      <c r="C84" s="40"/>
      <c r="D84" s="40" t="s">
        <v>10</v>
      </c>
      <c r="E84" s="40"/>
      <c r="F84" s="40" t="s">
        <v>147</v>
      </c>
      <c r="H84" s="21" t="s">
        <v>47</v>
      </c>
      <c r="I84" s="21"/>
      <c r="J84" s="21"/>
      <c r="K84" s="21"/>
      <c r="L84" s="21" t="s">
        <v>47</v>
      </c>
      <c r="M84" s="21"/>
      <c r="N84" s="21"/>
      <c r="O84" s="21"/>
      <c r="P84" s="21" t="s">
        <v>47</v>
      </c>
      <c r="Q84" s="21"/>
      <c r="R84" s="21"/>
      <c r="S84" s="21"/>
      <c r="T84" s="21"/>
      <c r="U84" s="21"/>
    </row>
    <row r="85" spans="2:23">
      <c r="B85" s="40">
        <f>VLOOKUP(5,Norma!$A$19:$J$22,2,FALSE)*1000*$B$1/(2*PI()*$B$3)</f>
        <v>8359.9128710097702</v>
      </c>
      <c r="C85" s="40" t="s">
        <v>9</v>
      </c>
      <c r="D85" s="40">
        <f>VLOOKUP(5,Norma!$A$19:$J$22,4,FALSE)*1000*$B$1/(2*PI()*$B$3)</f>
        <v>17430.033283773697</v>
      </c>
      <c r="E85" s="40" t="s">
        <v>71</v>
      </c>
      <c r="F85" s="40">
        <f>VLOOKUP(5,Norma!$A$19:$J$22,6,FALSE)*1000*$B$1/(2*PI()*$B$3)</f>
        <v>8359.9128710097702</v>
      </c>
      <c r="H85" s="4" t="s">
        <v>151</v>
      </c>
      <c r="I85" s="4" t="s">
        <v>141</v>
      </c>
      <c r="J85" s="21" t="s">
        <v>46</v>
      </c>
      <c r="K85" s="21"/>
      <c r="L85" s="4" t="s">
        <v>154</v>
      </c>
      <c r="M85" s="4" t="s">
        <v>141</v>
      </c>
      <c r="N85" s="21" t="s">
        <v>46</v>
      </c>
      <c r="O85" s="21"/>
      <c r="P85" s="4" t="s">
        <v>156</v>
      </c>
      <c r="Q85" s="4" t="s">
        <v>141</v>
      </c>
      <c r="R85" s="21"/>
      <c r="S85" s="21"/>
      <c r="T85" s="21"/>
      <c r="U85" s="21"/>
    </row>
    <row r="86" spans="2:23">
      <c r="B86" s="40"/>
      <c r="C86" s="40">
        <f>VLOOKUP(5,Norma!$A$19:$J$22,3,FALSE)*1000000/($B$1*2*PI()*$B$3)</f>
        <v>5767.227507738573</v>
      </c>
      <c r="D86" s="40"/>
      <c r="E86" s="40">
        <f>VLOOKUP(5,Norma!$A$19:$J$22,5,FALSE)*1000000/($B$1*2*PI()*$B$3)</f>
        <v>5767.227507738573</v>
      </c>
      <c r="F86" s="40"/>
      <c r="H86" s="135">
        <f>B85</f>
        <v>8359.9128710097702</v>
      </c>
      <c r="I86" s="92">
        <f>1000000000/((2*PI()*$B$5)^2*B85)</f>
        <v>237.76088960858141</v>
      </c>
      <c r="J86" s="18" t="s">
        <v>152</v>
      </c>
      <c r="K86" s="18" t="s">
        <v>153</v>
      </c>
      <c r="L86" s="135">
        <f>D85</f>
        <v>17430.033283773697</v>
      </c>
      <c r="M86" s="92">
        <f>1000000000/((2*PI()*$B$5)^2*L86)</f>
        <v>114.03651897279529</v>
      </c>
      <c r="N86" s="18" t="s">
        <v>155</v>
      </c>
      <c r="O86" s="18" t="s">
        <v>135</v>
      </c>
      <c r="P86" s="135">
        <f>F85</f>
        <v>8359.9128710097702</v>
      </c>
      <c r="Q86" s="92">
        <f>1000000000/((2*PI()*$B$5)^2*P86)</f>
        <v>237.76088960858141</v>
      </c>
      <c r="R86" s="21"/>
      <c r="S86" s="21"/>
      <c r="T86" s="21"/>
      <c r="U86" s="21"/>
    </row>
    <row r="87" spans="2:23">
      <c r="B87" s="40"/>
      <c r="C87" s="40"/>
      <c r="D87" s="40"/>
      <c r="E87" s="40"/>
      <c r="F87" s="40"/>
      <c r="H87" s="136"/>
      <c r="I87" s="21"/>
      <c r="J87" s="92">
        <f>C86</f>
        <v>5767.227507738573</v>
      </c>
      <c r="K87" s="135">
        <f>1000000000/((2*PI()*$B$5)^2*J87)</f>
        <v>344.64746164329966</v>
      </c>
      <c r="L87" s="19"/>
      <c r="M87" s="19"/>
      <c r="N87" s="92">
        <f>E86</f>
        <v>5767.227507738573</v>
      </c>
      <c r="O87" s="135">
        <f>1000000000/((2*PI()*$B$5)^2*N87)</f>
        <v>344.64746164329966</v>
      </c>
      <c r="P87" s="19"/>
      <c r="Q87" s="19"/>
      <c r="R87" s="21"/>
      <c r="S87" s="21"/>
      <c r="T87" s="21"/>
      <c r="U87" s="21"/>
    </row>
    <row r="88" spans="2:23">
      <c r="B88" s="40" t="s">
        <v>9</v>
      </c>
      <c r="C88" s="40" t="s">
        <v>52</v>
      </c>
      <c r="D88" s="40"/>
      <c r="E88" s="40" t="s">
        <v>149</v>
      </c>
      <c r="F88" s="40" t="s">
        <v>150</v>
      </c>
      <c r="H88" s="21"/>
      <c r="I88" s="21"/>
      <c r="J88" s="21"/>
      <c r="K88" s="19"/>
      <c r="L88" s="137"/>
      <c r="M88" s="21"/>
      <c r="N88" s="19"/>
      <c r="O88" s="19"/>
      <c r="P88" s="21"/>
      <c r="Q88" s="21"/>
      <c r="R88" s="21"/>
      <c r="S88" s="21"/>
      <c r="T88" s="21"/>
      <c r="U88" s="21"/>
    </row>
    <row r="89" spans="2:23">
      <c r="B89" s="40">
        <f>J87*K87/H86</f>
        <v>237.76088960858138</v>
      </c>
      <c r="C89" s="40">
        <f>10000*SQRT(J87*10/H86)/(2*PI()*$B$5)</f>
        <v>1170.9915212395881</v>
      </c>
      <c r="D89" s="40"/>
      <c r="E89" s="40">
        <f>L86*M86/H86</f>
        <v>237.76088960858138</v>
      </c>
      <c r="F89" s="40">
        <f>10000*SQRT(N87*10/H86)/(2*PI()*$B$5)</f>
        <v>1170.9915212395881</v>
      </c>
      <c r="H89" s="21"/>
      <c r="I89" s="21"/>
      <c r="J89" s="21"/>
      <c r="K89" s="21"/>
      <c r="L89" s="21"/>
      <c r="M89" s="137"/>
      <c r="N89" s="21"/>
      <c r="O89" s="21"/>
      <c r="P89" s="21"/>
      <c r="Q89" s="21"/>
      <c r="R89" s="21"/>
      <c r="S89" s="21"/>
      <c r="T89" s="21"/>
      <c r="U89" s="21"/>
    </row>
    <row r="90" spans="2:23">
      <c r="B90" s="40"/>
      <c r="C90" s="40"/>
      <c r="D90" s="40"/>
      <c r="E90" s="40"/>
      <c r="F90" s="40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2:23">
      <c r="B91" s="40"/>
      <c r="C91" s="40"/>
      <c r="D91" s="40"/>
      <c r="E91" s="40"/>
      <c r="F91" s="40"/>
      <c r="H91" s="4" t="s">
        <v>157</v>
      </c>
      <c r="I91" s="4" t="s">
        <v>158</v>
      </c>
      <c r="J91" s="4"/>
      <c r="K91" s="4" t="s">
        <v>159</v>
      </c>
      <c r="L91" s="4" t="s">
        <v>160</v>
      </c>
      <c r="M91" s="4"/>
      <c r="N91" s="4" t="s">
        <v>154</v>
      </c>
      <c r="O91" s="4" t="s">
        <v>161</v>
      </c>
      <c r="P91" s="4"/>
      <c r="Q91" s="4" t="s">
        <v>162</v>
      </c>
      <c r="R91" s="4" t="s">
        <v>155</v>
      </c>
      <c r="S91" s="4"/>
      <c r="T91" s="4" t="s">
        <v>163</v>
      </c>
      <c r="U91" s="4" t="s">
        <v>164</v>
      </c>
    </row>
    <row r="92" spans="2:23">
      <c r="B92" s="40"/>
      <c r="C92" s="40">
        <f>C89*C89/(C89+C89)</f>
        <v>585.49576061979405</v>
      </c>
      <c r="D92" s="40"/>
      <c r="E92" s="40"/>
      <c r="F92" s="40">
        <f>F89*F89/(F89+F89)</f>
        <v>585.49576061979405</v>
      </c>
      <c r="H92" s="132">
        <f>H86</f>
        <v>8359.9128710097702</v>
      </c>
      <c r="I92" s="133">
        <f>I86*(-C89)/(I86-C89)</f>
        <v>298.33567006629761</v>
      </c>
      <c r="J92" s="18" t="s">
        <v>165</v>
      </c>
      <c r="K92" s="132">
        <f>H86</f>
        <v>8359.9128710097702</v>
      </c>
      <c r="L92" s="133">
        <f>B89*(-C92)/(B89-C92)</f>
        <v>400.32796395195726</v>
      </c>
      <c r="M92" s="18" t="s">
        <v>165</v>
      </c>
      <c r="N92" s="132">
        <f>L86</f>
        <v>17430.033283773697</v>
      </c>
      <c r="O92" s="133">
        <f>M86*(-C92)/(M86-C92)</f>
        <v>141.61966192700552</v>
      </c>
      <c r="P92" s="18" t="s">
        <v>165</v>
      </c>
      <c r="Q92" s="132">
        <f>H86</f>
        <v>8359.9128710097702</v>
      </c>
      <c r="R92" s="133">
        <f>Q86*(-C92)/(Q86-C92)</f>
        <v>400.32796395195732</v>
      </c>
      <c r="S92" s="18" t="s">
        <v>165</v>
      </c>
      <c r="T92" s="132">
        <f>H86</f>
        <v>8359.9128710097702</v>
      </c>
      <c r="U92" s="133">
        <f>Q86*(-C89)/(Q86-C89)</f>
        <v>298.33567006629761</v>
      </c>
      <c r="W92" s="1" t="s">
        <v>324</v>
      </c>
    </row>
    <row r="93" spans="2:23">
      <c r="H93" s="21"/>
      <c r="I93" s="19"/>
      <c r="J93" s="133">
        <f>C89</f>
        <v>1170.9915212395881</v>
      </c>
      <c r="K93" s="21"/>
      <c r="L93" s="21"/>
      <c r="M93" s="133">
        <f>C89</f>
        <v>1170.9915212395881</v>
      </c>
      <c r="N93" s="21"/>
      <c r="O93" s="21"/>
      <c r="P93" s="133">
        <f>C89</f>
        <v>1170.9915212395881</v>
      </c>
      <c r="Q93" s="21"/>
      <c r="R93" s="21"/>
      <c r="S93" s="133">
        <f>C89</f>
        <v>1170.9915212395881</v>
      </c>
      <c r="T93" s="21"/>
      <c r="U93" s="21"/>
    </row>
    <row r="94" spans="2:23">
      <c r="J94" s="3"/>
    </row>
    <row r="103" spans="2:23">
      <c r="G103" s="4" t="s">
        <v>176</v>
      </c>
      <c r="H103" s="134" t="s">
        <v>310</v>
      </c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2:23">
      <c r="B104" s="40" t="s">
        <v>143</v>
      </c>
      <c r="C104" s="40"/>
      <c r="D104" s="40" t="s">
        <v>10</v>
      </c>
      <c r="E104" s="40"/>
      <c r="F104" s="40" t="s">
        <v>147</v>
      </c>
      <c r="H104" s="21" t="s">
        <v>47</v>
      </c>
      <c r="I104" s="21"/>
      <c r="J104" s="21"/>
      <c r="K104" s="21"/>
      <c r="L104" s="21" t="s">
        <v>47</v>
      </c>
      <c r="M104" s="21"/>
      <c r="N104" s="21"/>
      <c r="O104" s="21"/>
      <c r="P104" s="21" t="s">
        <v>47</v>
      </c>
      <c r="Q104" s="21"/>
      <c r="R104" s="21"/>
      <c r="S104" s="21"/>
      <c r="T104" s="21"/>
      <c r="U104" s="21"/>
    </row>
    <row r="105" spans="2:23">
      <c r="B105" s="40">
        <f>VLOOKUP(5,Norma!$A$25:$J$28,2,FALSE)*1000*$B$1/(2*PI()*$B$3)</f>
        <v>10045.586193004576</v>
      </c>
      <c r="C105" s="40" t="s">
        <v>9</v>
      </c>
      <c r="D105" s="40">
        <f>VLOOKUP(5,Norma!$A$25:$J$28,4,FALSE)*1000*$B$1/(2*PI()*$B$3)</f>
        <v>18388.385629273282</v>
      </c>
      <c r="E105" s="40" t="s">
        <v>11</v>
      </c>
      <c r="F105" s="40">
        <f>VLOOKUP(5,Norma!$A$25:$J$28,6,FALSE)*1000*$B$1/(2*PI()*$B$3)</f>
        <v>10045.586193004576</v>
      </c>
      <c r="H105" s="4" t="s">
        <v>151</v>
      </c>
      <c r="I105" s="4" t="s">
        <v>141</v>
      </c>
      <c r="J105" s="21" t="s">
        <v>46</v>
      </c>
      <c r="K105" s="21"/>
      <c r="L105" s="4" t="s">
        <v>154</v>
      </c>
      <c r="M105" s="4" t="s">
        <v>141</v>
      </c>
      <c r="N105" s="21" t="s">
        <v>46</v>
      </c>
      <c r="O105" s="21"/>
      <c r="P105" s="4" t="s">
        <v>154</v>
      </c>
      <c r="Q105" s="4" t="s">
        <v>141</v>
      </c>
      <c r="R105" s="21"/>
      <c r="S105" s="21"/>
      <c r="T105" s="21"/>
      <c r="U105" s="21"/>
    </row>
    <row r="106" spans="2:23">
      <c r="B106" s="40"/>
      <c r="C106" s="40">
        <f>VLOOKUP(5,Norma!$A$25:$J$28,3,FALSE)*1000000/($B$1*2*PI()*$B$3)</f>
        <v>5531.0621083118895</v>
      </c>
      <c r="D106" s="40"/>
      <c r="E106" s="40">
        <f>VLOOKUP(5,Norma!$A$25:$J$28,5,FALSE)*1000000/($B$1*2*PI()*$B$3)</f>
        <v>5531.0621083118895</v>
      </c>
      <c r="F106" s="40"/>
      <c r="H106" s="135">
        <f>B105</f>
        <v>10045.586193004576</v>
      </c>
      <c r="I106" s="92">
        <f>1000000000/((2*PI()*$B$5)^2*B105)</f>
        <v>197.86404527051451</v>
      </c>
      <c r="J106" s="18" t="s">
        <v>140</v>
      </c>
      <c r="K106" s="18" t="s">
        <v>135</v>
      </c>
      <c r="L106" s="135">
        <f>D105</f>
        <v>18388.385629273282</v>
      </c>
      <c r="M106" s="92">
        <f>1000000000/((2*PI()*$B$5)^2*L106)</f>
        <v>108.09324762567894</v>
      </c>
      <c r="N106" s="18" t="s">
        <v>155</v>
      </c>
      <c r="O106" s="18" t="s">
        <v>135</v>
      </c>
      <c r="P106" s="135">
        <f>F105</f>
        <v>10045.586193004576</v>
      </c>
      <c r="Q106" s="92">
        <f>1000000000/((2*PI()*$B$5)^2*P106)</f>
        <v>197.86404527051451</v>
      </c>
      <c r="R106" s="21"/>
      <c r="S106" s="21"/>
      <c r="T106" s="21"/>
      <c r="U106" s="21"/>
    </row>
    <row r="107" spans="2:23">
      <c r="B107" s="40"/>
      <c r="C107" s="40"/>
      <c r="D107" s="40"/>
      <c r="E107" s="40"/>
      <c r="F107" s="40"/>
      <c r="H107" s="21"/>
      <c r="I107" s="21"/>
      <c r="J107" s="92">
        <f>C106</f>
        <v>5531.0621083118895</v>
      </c>
      <c r="K107" s="135">
        <f>1000000000/((2*PI()*$B$5)^2*J107)</f>
        <v>359.36322578524755</v>
      </c>
      <c r="L107" s="19"/>
      <c r="M107" s="19"/>
      <c r="N107" s="92">
        <f>E106</f>
        <v>5531.0621083118895</v>
      </c>
      <c r="O107" s="135">
        <f>1000000000/((2*PI()*$B$5)^2*N107)</f>
        <v>359.36322578524755</v>
      </c>
      <c r="P107" s="19"/>
      <c r="Q107" s="19"/>
      <c r="R107" s="21"/>
      <c r="S107" s="21"/>
      <c r="T107" s="21"/>
      <c r="U107" s="21"/>
    </row>
    <row r="108" spans="2:23">
      <c r="B108" s="40" t="s">
        <v>9</v>
      </c>
      <c r="C108" s="40" t="s">
        <v>52</v>
      </c>
      <c r="D108" s="40"/>
      <c r="E108" s="40" t="s">
        <v>87</v>
      </c>
      <c r="F108" s="40" t="s">
        <v>136</v>
      </c>
      <c r="H108" s="21"/>
      <c r="I108" s="21"/>
      <c r="J108" s="21"/>
      <c r="K108" s="19"/>
      <c r="L108" s="137"/>
      <c r="M108" s="21"/>
      <c r="N108" s="19"/>
      <c r="O108" s="19"/>
      <c r="P108" s="21"/>
      <c r="Q108" s="21"/>
      <c r="R108" s="21"/>
      <c r="S108" s="21"/>
      <c r="T108" s="21"/>
      <c r="U108" s="21"/>
    </row>
    <row r="109" spans="2:23">
      <c r="B109" s="40">
        <f>J107*K107/H106</f>
        <v>197.86404527051451</v>
      </c>
      <c r="C109" s="40">
        <f>10000*SQRT(J107*10/H106)/(2*PI()*$B$5)</f>
        <v>1046.1349451160931</v>
      </c>
      <c r="D109" s="40"/>
      <c r="E109" s="40">
        <f>L106*M106/H106</f>
        <v>197.86404527051451</v>
      </c>
      <c r="F109" s="40">
        <f>10000*SQRT(N107*10/H106)/(2*PI()*$B$5)</f>
        <v>1046.1349451160931</v>
      </c>
      <c r="H109" s="21"/>
      <c r="I109" s="21"/>
      <c r="J109" s="21"/>
      <c r="K109" s="21"/>
      <c r="L109" s="21"/>
      <c r="M109" s="137"/>
      <c r="N109" s="21"/>
      <c r="O109" s="21"/>
      <c r="P109" s="21"/>
      <c r="Q109" s="21"/>
      <c r="R109" s="21"/>
      <c r="S109" s="21"/>
      <c r="T109" s="21"/>
      <c r="U109" s="21"/>
    </row>
    <row r="110" spans="2:23">
      <c r="B110" s="40"/>
      <c r="C110" s="40"/>
      <c r="D110" s="40"/>
      <c r="E110" s="40"/>
      <c r="F110" s="40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2:23">
      <c r="B111" s="40"/>
      <c r="C111" s="40"/>
      <c r="D111" s="40"/>
      <c r="E111" s="40"/>
      <c r="F111" s="40"/>
      <c r="H111" s="4" t="s">
        <v>151</v>
      </c>
      <c r="I111" s="4" t="s">
        <v>158</v>
      </c>
      <c r="J111" s="4"/>
      <c r="K111" s="4" t="s">
        <v>159</v>
      </c>
      <c r="L111" s="4" t="s">
        <v>140</v>
      </c>
      <c r="M111" s="4"/>
      <c r="N111" s="4" t="s">
        <v>154</v>
      </c>
      <c r="O111" s="4" t="s">
        <v>161</v>
      </c>
      <c r="P111" s="4"/>
      <c r="Q111" s="4" t="s">
        <v>162</v>
      </c>
      <c r="R111" s="4" t="s">
        <v>155</v>
      </c>
      <c r="S111" s="4"/>
      <c r="T111" s="4" t="s">
        <v>163</v>
      </c>
      <c r="U111" s="4" t="s">
        <v>164</v>
      </c>
    </row>
    <row r="112" spans="2:23">
      <c r="B112" s="40"/>
      <c r="C112" s="40">
        <f>C109*C109/(C109+C109)</f>
        <v>523.06747255804657</v>
      </c>
      <c r="D112" s="40"/>
      <c r="E112" s="40"/>
      <c r="F112" s="40">
        <f>F109*F109/(F109+F109)</f>
        <v>523.06747255804657</v>
      </c>
      <c r="H112" s="132">
        <f>H106</f>
        <v>10045.586193004576</v>
      </c>
      <c r="I112" s="133">
        <f>I106*(-C109)/(I106-C109)</f>
        <v>244.01696695854977</v>
      </c>
      <c r="J112" s="18" t="s">
        <v>141</v>
      </c>
      <c r="K112" s="132">
        <f>H106</f>
        <v>10045.586193004576</v>
      </c>
      <c r="L112" s="133">
        <f>B109*(-C112)/(B109-C112)</f>
        <v>318.25078515624506</v>
      </c>
      <c r="M112" s="18" t="s">
        <v>141</v>
      </c>
      <c r="N112" s="132">
        <f>L106</f>
        <v>18388.385629273282</v>
      </c>
      <c r="O112" s="133">
        <f>M106*(-C112)/(M106-C112)</f>
        <v>136.2495751281175</v>
      </c>
      <c r="P112" s="18" t="s">
        <v>141</v>
      </c>
      <c r="Q112" s="132">
        <f>H106</f>
        <v>10045.586193004576</v>
      </c>
      <c r="R112" s="133">
        <f>Q106*(-C112)/(Q106-C112)</f>
        <v>318.25078515624506</v>
      </c>
      <c r="S112" s="18" t="s">
        <v>141</v>
      </c>
      <c r="T112" s="132">
        <f>H106</f>
        <v>10045.586193004576</v>
      </c>
      <c r="U112" s="133">
        <f>Q106*(-C109)/(Q106-C109)</f>
        <v>244.01696695854977</v>
      </c>
      <c r="W112" s="1" t="s">
        <v>324</v>
      </c>
    </row>
    <row r="113" spans="2:21">
      <c r="H113" s="21"/>
      <c r="I113" s="19"/>
      <c r="J113" s="133">
        <f>C109</f>
        <v>1046.1349451160931</v>
      </c>
      <c r="K113" s="21"/>
      <c r="L113" s="21"/>
      <c r="M113" s="133">
        <f>C109</f>
        <v>1046.1349451160931</v>
      </c>
      <c r="N113" s="21"/>
      <c r="O113" s="21"/>
      <c r="P113" s="133">
        <f>C109</f>
        <v>1046.1349451160931</v>
      </c>
      <c r="Q113" s="21"/>
      <c r="R113" s="21"/>
      <c r="S113" s="133">
        <f>C109</f>
        <v>1046.1349451160931</v>
      </c>
      <c r="T113" s="21"/>
      <c r="U113" s="21"/>
    </row>
    <row r="114" spans="2:21">
      <c r="J114" s="3"/>
    </row>
    <row r="123" spans="2:21">
      <c r="G123" s="4" t="s">
        <v>175</v>
      </c>
      <c r="H123" s="134" t="s">
        <v>311</v>
      </c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2:21">
      <c r="B124" s="40" t="s">
        <v>143</v>
      </c>
      <c r="C124" s="40"/>
      <c r="D124" s="40" t="s">
        <v>10</v>
      </c>
      <c r="E124" s="40"/>
      <c r="F124" s="40" t="s">
        <v>147</v>
      </c>
      <c r="H124" s="21" t="s">
        <v>47</v>
      </c>
      <c r="I124" s="21"/>
      <c r="J124" s="21"/>
      <c r="K124" s="21"/>
      <c r="L124" s="21" t="s">
        <v>47</v>
      </c>
      <c r="M124" s="21"/>
      <c r="N124" s="21"/>
      <c r="O124" s="21"/>
      <c r="P124" s="21" t="s">
        <v>47</v>
      </c>
      <c r="Q124" s="21"/>
      <c r="R124" s="21"/>
      <c r="S124" s="21"/>
      <c r="T124" s="21"/>
      <c r="U124" s="21"/>
    </row>
    <row r="125" spans="2:21">
      <c r="B125" s="40">
        <f>VLOOKUP(5,Norma!$A$31:$J$34,2,FALSE)*1000*$B$1/(2*PI()*$B$3)</f>
        <v>12595.487969423113</v>
      </c>
      <c r="C125" s="40" t="s">
        <v>9</v>
      </c>
      <c r="D125" s="40">
        <f>VLOOKUP(5,Norma!$A$31:$J$34,4,FALSE)*1000*$B$1/(2*PI()*$B$3)</f>
        <v>20373.544059236709</v>
      </c>
      <c r="E125" s="40" t="s">
        <v>11</v>
      </c>
      <c r="F125" s="40">
        <f>VLOOKUP(5,Norma!$A$31:$J$34,6,FALSE)*1000*$B$1/(2*PI()*$B$3)</f>
        <v>12595.487969423113</v>
      </c>
      <c r="H125" s="4" t="s">
        <v>151</v>
      </c>
      <c r="I125" s="4" t="s">
        <v>141</v>
      </c>
      <c r="J125" s="21" t="s">
        <v>46</v>
      </c>
      <c r="K125" s="21"/>
      <c r="L125" s="4" t="s">
        <v>154</v>
      </c>
      <c r="M125" s="4" t="s">
        <v>141</v>
      </c>
      <c r="N125" s="21" t="s">
        <v>46</v>
      </c>
      <c r="O125" s="21"/>
      <c r="P125" s="4" t="s">
        <v>154</v>
      </c>
      <c r="Q125" s="4" t="s">
        <v>141</v>
      </c>
      <c r="R125" s="21"/>
      <c r="S125" s="21"/>
      <c r="T125" s="21"/>
      <c r="U125" s="21"/>
    </row>
    <row r="126" spans="2:21">
      <c r="B126" s="40"/>
      <c r="C126" s="40">
        <f>VLOOKUP(5,Norma!$A$31:$J$34,3,FALSE)*1000000/($B$1*2*PI()*$B$3)</f>
        <v>5031.3498138728201</v>
      </c>
      <c r="D126" s="40"/>
      <c r="E126" s="40">
        <f>VLOOKUP(5,Norma!$A$31:$J$34,5,FALSE)*1000000/($B$1*2*PI()*$B$3)</f>
        <v>5031.3498138728201</v>
      </c>
      <c r="F126" s="40"/>
      <c r="H126" s="135">
        <f>B125</f>
        <v>12595.487969423113</v>
      </c>
      <c r="I126" s="92">
        <f>1000000000/((2*PI()*$B$5)^2*B125)</f>
        <v>157.80732958395654</v>
      </c>
      <c r="J126" s="18" t="s">
        <v>140</v>
      </c>
      <c r="K126" s="18" t="s">
        <v>135</v>
      </c>
      <c r="L126" s="135">
        <f>D125</f>
        <v>20373.544059236709</v>
      </c>
      <c r="M126" s="92">
        <f>1000000000/((2*PI()*$B$5)^2*L126)</f>
        <v>97.560852224940788</v>
      </c>
      <c r="N126" s="18" t="s">
        <v>155</v>
      </c>
      <c r="O126" s="18" t="s">
        <v>135</v>
      </c>
      <c r="P126" s="135">
        <f>F125</f>
        <v>12595.487969423113</v>
      </c>
      <c r="Q126" s="92">
        <f>1000000000/((2*PI()*$B$5)^2*P126)</f>
        <v>157.80732958395654</v>
      </c>
      <c r="R126" s="21"/>
      <c r="S126" s="21"/>
      <c r="T126" s="21"/>
      <c r="U126" s="21"/>
    </row>
    <row r="127" spans="2:21">
      <c r="B127" s="40"/>
      <c r="C127" s="40"/>
      <c r="D127" s="40"/>
      <c r="E127" s="40"/>
      <c r="F127" s="40"/>
      <c r="H127" s="21"/>
      <c r="I127" s="21"/>
      <c r="J127" s="92">
        <f>C126</f>
        <v>5031.3498138728201</v>
      </c>
      <c r="K127" s="135">
        <f>1000000000/((2*PI()*$B$5)^2*J127)</f>
        <v>395.05508358432661</v>
      </c>
      <c r="L127" s="19"/>
      <c r="M127" s="19"/>
      <c r="N127" s="92">
        <f>E126</f>
        <v>5031.3498138728201</v>
      </c>
      <c r="O127" s="135">
        <f>1000000000/((2*PI()*$B$5)^2*N127)</f>
        <v>395.05508358432661</v>
      </c>
      <c r="P127" s="19"/>
      <c r="Q127" s="19"/>
      <c r="R127" s="21"/>
      <c r="S127" s="21"/>
      <c r="T127" s="21"/>
      <c r="U127" s="21"/>
    </row>
    <row r="128" spans="2:21">
      <c r="B128" s="40" t="s">
        <v>9</v>
      </c>
      <c r="C128" s="40" t="s">
        <v>52</v>
      </c>
      <c r="D128" s="40"/>
      <c r="E128" s="40" t="s">
        <v>87</v>
      </c>
      <c r="F128" s="40" t="s">
        <v>136</v>
      </c>
      <c r="H128" s="21"/>
      <c r="I128" s="21"/>
      <c r="J128" s="21"/>
      <c r="K128" s="19"/>
      <c r="L128" s="137"/>
      <c r="M128" s="21"/>
      <c r="N128" s="19"/>
      <c r="O128" s="19"/>
      <c r="P128" s="21"/>
      <c r="Q128" s="21"/>
      <c r="R128" s="21"/>
      <c r="S128" s="21"/>
      <c r="T128" s="21"/>
      <c r="U128" s="21"/>
    </row>
    <row r="129" spans="2:21">
      <c r="B129" s="40">
        <f>J127*K127/H126</f>
        <v>157.80732958395657</v>
      </c>
      <c r="C129" s="40">
        <f>10000*SQRT(J127*10/H126)/(2*PI()*$B$5)</f>
        <v>891.05773007701725</v>
      </c>
      <c r="D129" s="40"/>
      <c r="E129" s="40">
        <f>L126*M126/H126</f>
        <v>157.80732958395654</v>
      </c>
      <c r="F129" s="40">
        <f>10000*SQRT(N127*10/H126)/(2*PI()*$B$5)</f>
        <v>891.05773007701725</v>
      </c>
      <c r="H129" s="21"/>
      <c r="I129" s="21"/>
      <c r="J129" s="21"/>
      <c r="K129" s="21"/>
      <c r="L129" s="21"/>
      <c r="M129" s="137"/>
      <c r="N129" s="21"/>
      <c r="O129" s="21"/>
      <c r="P129" s="21"/>
      <c r="Q129" s="21"/>
      <c r="R129" s="21"/>
      <c r="S129" s="21"/>
      <c r="T129" s="21"/>
      <c r="U129" s="21"/>
    </row>
    <row r="130" spans="2:21">
      <c r="B130" s="40"/>
      <c r="C130" s="40"/>
      <c r="D130" s="40"/>
      <c r="E130" s="40"/>
      <c r="F130" s="40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2:21">
      <c r="B131" s="40"/>
      <c r="C131" s="40"/>
      <c r="D131" s="40"/>
      <c r="E131" s="40"/>
      <c r="F131" s="40"/>
      <c r="H131" s="4" t="s">
        <v>151</v>
      </c>
      <c r="I131" s="4" t="s">
        <v>158</v>
      </c>
      <c r="J131" s="4"/>
      <c r="K131" s="4" t="s">
        <v>159</v>
      </c>
      <c r="L131" s="4" t="s">
        <v>140</v>
      </c>
      <c r="M131" s="4"/>
      <c r="N131" s="4" t="s">
        <v>154</v>
      </c>
      <c r="O131" s="4" t="s">
        <v>161</v>
      </c>
      <c r="P131" s="4"/>
      <c r="Q131" s="4" t="s">
        <v>162</v>
      </c>
      <c r="R131" s="4" t="s">
        <v>155</v>
      </c>
      <c r="S131" s="4"/>
      <c r="T131" s="4" t="s">
        <v>163</v>
      </c>
      <c r="U131" s="4" t="s">
        <v>164</v>
      </c>
    </row>
    <row r="132" spans="2:21">
      <c r="B132" s="40"/>
      <c r="C132" s="40">
        <f>C129*C129/(C129+C129)</f>
        <v>445.52886503850863</v>
      </c>
      <c r="D132" s="40"/>
      <c r="E132" s="40"/>
      <c r="F132" s="40">
        <f>F129*F129/(F129+F129)</f>
        <v>445.52886503850863</v>
      </c>
      <c r="H132" s="132">
        <f>H126</f>
        <v>12595.487969423113</v>
      </c>
      <c r="I132" s="133">
        <f>I126*(-C129)/(I126-C129)</f>
        <v>191.77001580093483</v>
      </c>
      <c r="J132" s="18" t="s">
        <v>141</v>
      </c>
      <c r="K132" s="132">
        <f>H126</f>
        <v>12595.487969423113</v>
      </c>
      <c r="L132" s="133">
        <f>B129*(-C132)/(B129-C132)</f>
        <v>244.36029904130592</v>
      </c>
      <c r="M132" s="18" t="s">
        <v>141</v>
      </c>
      <c r="N132" s="132">
        <f>L126</f>
        <v>20373.544059236709</v>
      </c>
      <c r="O132" s="133">
        <f>M126*(-C132)/(M126-C132)</f>
        <v>124.91428569112635</v>
      </c>
      <c r="P132" s="18" t="s">
        <v>141</v>
      </c>
      <c r="Q132" s="132">
        <f>H126</f>
        <v>12595.487969423113</v>
      </c>
      <c r="R132" s="133">
        <f>Q126*(-C132)/(Q126-C132)</f>
        <v>244.36029904130586</v>
      </c>
      <c r="S132" s="18" t="s">
        <v>141</v>
      </c>
      <c r="T132" s="132">
        <f>H126</f>
        <v>12595.487969423113</v>
      </c>
      <c r="U132" s="133">
        <f>Q126*(-C129)/(Q126-C129)</f>
        <v>191.77001580093483</v>
      </c>
    </row>
    <row r="133" spans="2:21">
      <c r="H133" s="21"/>
      <c r="I133" s="19"/>
      <c r="J133" s="133">
        <f>C129</f>
        <v>891.05773007701725</v>
      </c>
      <c r="K133" s="21"/>
      <c r="L133" s="21"/>
      <c r="M133" s="133">
        <f>C129</f>
        <v>891.05773007701725</v>
      </c>
      <c r="N133" s="21"/>
      <c r="O133" s="21"/>
      <c r="P133" s="133">
        <f>C129</f>
        <v>891.05773007701725</v>
      </c>
      <c r="Q133" s="21"/>
      <c r="R133" s="21"/>
      <c r="S133" s="133">
        <f>C129</f>
        <v>891.05773007701725</v>
      </c>
      <c r="T133" s="21"/>
      <c r="U133" s="21"/>
    </row>
    <row r="134" spans="2:21">
      <c r="J134" s="3"/>
    </row>
  </sheetData>
  <sheetProtection algorithmName="SHA-512" hashValue="d+LBGZuA+suet5bBdc5uEPOoFbvbjpyj3bB073AkXbPsa3VzvPidjwdK92z5h+bnbYyX81NSxm8LPbXe+BSVtg==" saltValue="cu9y9r6Q+bCWBVsS6OAPyw==" spinCount="100000" sheet="1" objects="1" scenarios="1"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ローパスフィルタ</vt:lpstr>
      <vt:lpstr>ハイパスフィルタ</vt:lpstr>
      <vt:lpstr>ﾊﾞﾀｰﾜｰｽBPF</vt:lpstr>
      <vt:lpstr>ﾁｪﾋﾞｼｪﾌBPF0.01dB</vt:lpstr>
      <vt:lpstr>ﾁｪﾋﾞｼｪﾌBPF0.05dB</vt:lpstr>
      <vt:lpstr>ﾁｪﾋﾞｼｪﾌBPF0.2dB</vt:lpstr>
      <vt:lpstr>容量結合型BPF</vt:lpstr>
      <vt:lpstr>ｼﾞｬｲﾚｰﾀ変換BPF</vt:lpstr>
      <vt:lpstr>Sheet1</vt:lpstr>
      <vt:lpstr>Norma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M.Tsuji</cp:lastModifiedBy>
  <dcterms:created xsi:type="dcterms:W3CDTF">2019-03-31T21:43:24Z</dcterms:created>
  <dcterms:modified xsi:type="dcterms:W3CDTF">2020-06-10T09:38:53Z</dcterms:modified>
</cp:coreProperties>
</file>